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fjuedu-my.sharepoint.com/personal/060608_m365_fju_edu_tw/Documents/NEWWORLD/112學年/B/00  一般總量申請案格式(含名額微調更名新設等)/01  各類總量申請案(106增減額+107新設)/"/>
    </mc:Choice>
  </mc:AlternateContent>
  <xr:revisionPtr revIDLastSave="3" documentId="13_ncr:1_{61AA6BBD-FB3A-43D0-9456-DBDE374B913E}" xr6:coauthVersionLast="47" xr6:coauthVersionMax="47" xr10:uidLastSave="{710D5AFC-FEBC-4ACB-87AA-5F3A11DC48DA}"/>
  <bookViews>
    <workbookView xWindow="-120" yWindow="-120" windowWidth="29040" windowHeight="15990" activeTab="1" xr2:uid="{00000000-000D-0000-FFFF-FFFF00000000}"/>
  </bookViews>
  <sheets>
    <sheet name="增減額-全院" sheetId="1" r:id="rId1"/>
    <sheet name="增額單位說明表" sheetId="2" r:id="rId2"/>
    <sheet name="5-競爭校系-1系1表" sheetId="4" r:id="rId3"/>
    <sheet name="生師比概算-參考" sheetId="3" state="hidden" r:id="rId4"/>
  </sheets>
  <definedNames>
    <definedName name="_xlnm.Print_Titles" localSheetId="0">'增減額-全院'!$12:$12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S15" i="2" s="1"/>
  <c r="R15" i="2"/>
  <c r="P15" i="2"/>
  <c r="O15" i="2"/>
  <c r="N15" i="2"/>
  <c r="M15" i="2"/>
  <c r="L15" i="2"/>
  <c r="K15" i="2"/>
  <c r="J15" i="2"/>
  <c r="I15" i="2"/>
  <c r="H15" i="2"/>
  <c r="F13" i="2"/>
  <c r="F14" i="2" s="1"/>
  <c r="G13" i="2"/>
  <c r="G14" i="2" s="1"/>
  <c r="L11" i="1"/>
  <c r="L12" i="1" s="1"/>
  <c r="K11" i="1"/>
  <c r="K12" i="1" s="1"/>
  <c r="J11" i="1"/>
  <c r="J12" i="1" s="1"/>
  <c r="I11" i="1"/>
  <c r="I12" i="1" s="1"/>
  <c r="H11" i="1"/>
  <c r="H12" i="1" s="1"/>
  <c r="G11" i="1"/>
  <c r="G12" i="1" s="1"/>
  <c r="F11" i="1"/>
  <c r="F12" i="1" s="1"/>
  <c r="Q15" i="2" l="1"/>
  <c r="B1" i="2"/>
  <c r="F108" i="3" l="1"/>
  <c r="D108" i="3"/>
  <c r="B108" i="3"/>
  <c r="F107" i="3"/>
  <c r="F109" i="3" s="1"/>
  <c r="D107" i="3"/>
  <c r="D109" i="3" s="1"/>
  <c r="B107" i="3"/>
  <c r="B109" i="3" s="1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E85" i="3"/>
  <c r="D85" i="3"/>
  <c r="C85" i="3"/>
  <c r="B85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E66" i="3"/>
  <c r="D66" i="3"/>
  <c r="C66" i="3"/>
  <c r="B66" i="3"/>
  <c r="F61" i="3"/>
  <c r="F60" i="3"/>
  <c r="F59" i="3"/>
  <c r="F58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D35" i="3"/>
  <c r="B35" i="3"/>
  <c r="C103" i="3" s="1"/>
  <c r="C105" i="3" s="1"/>
  <c r="D34" i="3"/>
  <c r="B34" i="3"/>
  <c r="E33" i="3"/>
  <c r="C33" i="3"/>
  <c r="E32" i="3"/>
  <c r="C32" i="3"/>
  <c r="E31" i="3"/>
  <c r="C31" i="3"/>
  <c r="E30" i="3"/>
  <c r="C30" i="3"/>
  <c r="E29" i="3"/>
  <c r="C29" i="3"/>
  <c r="E28" i="3"/>
  <c r="C28" i="3"/>
  <c r="E27" i="3"/>
  <c r="C27" i="3"/>
  <c r="E26" i="3"/>
  <c r="C26" i="3"/>
  <c r="E25" i="3"/>
  <c r="C25" i="3"/>
  <c r="E24" i="3"/>
  <c r="C24" i="3"/>
  <c r="E23" i="3"/>
  <c r="C23" i="3"/>
  <c r="E22" i="3"/>
  <c r="C22" i="3"/>
  <c r="F17" i="3"/>
  <c r="I11" i="3"/>
  <c r="I8" i="3"/>
  <c r="I7" i="3"/>
  <c r="I6" i="3"/>
  <c r="G58" i="3" l="1"/>
  <c r="G60" i="3"/>
  <c r="C104" i="3"/>
  <c r="F66" i="3"/>
  <c r="C34" i="3"/>
  <c r="E104" i="3"/>
  <c r="E34" i="3"/>
  <c r="F85" i="3"/>
  <c r="B103" i="3"/>
  <c r="B105" i="3" s="1"/>
  <c r="D103" i="3"/>
  <c r="D105" i="3" s="1"/>
  <c r="D104" i="3"/>
  <c r="E103" i="3"/>
  <c r="E105" i="3" s="1"/>
  <c r="B104" i="3" l="1"/>
  <c r="L22" i="1"/>
  <c r="G22" i="1"/>
  <c r="L21" i="1"/>
  <c r="G21" i="1"/>
  <c r="L24" i="1"/>
  <c r="L23" i="1"/>
  <c r="L20" i="1"/>
  <c r="L19" i="1"/>
  <c r="L18" i="1"/>
  <c r="L17" i="1"/>
  <c r="L16" i="1"/>
  <c r="L15" i="1"/>
  <c r="L14" i="1"/>
  <c r="L13" i="1"/>
  <c r="G20" i="1"/>
  <c r="G19" i="1"/>
  <c r="G18" i="1"/>
  <c r="G17" i="1"/>
  <c r="G16" i="1"/>
  <c r="G24" i="1"/>
  <c r="G23" i="1"/>
  <c r="G15" i="1"/>
  <c r="G14" i="1"/>
  <c r="G13" i="1"/>
</calcChain>
</file>

<file path=xl/sharedStrings.xml><?xml version="1.0" encoding="utf-8"?>
<sst xmlns="http://schemas.openxmlformats.org/spreadsheetml/2006/main" count="396" uniqueCount="295">
  <si>
    <t>申請單位</t>
    <phoneticPr fontId="1" type="noConversion"/>
  </si>
  <si>
    <t>增減額</t>
    <phoneticPr fontId="1" type="noConversion"/>
  </si>
  <si>
    <t>風險管理學系</t>
    <phoneticPr fontId="1" type="noConversion"/>
  </si>
  <si>
    <t>分機：</t>
    <phoneticPr fontId="1" type="noConversion"/>
  </si>
  <si>
    <t>一級主管：</t>
    <phoneticPr fontId="1" type="noConversion"/>
  </si>
  <si>
    <t>填表說明：</t>
    <phoneticPr fontId="1" type="noConversion"/>
  </si>
  <si>
    <t>填表單位：</t>
    <phoneticPr fontId="1" type="noConversion"/>
  </si>
  <si>
    <t xml:space="preserve">填表人： </t>
    <phoneticPr fontId="1" type="noConversion"/>
  </si>
  <si>
    <t>財務管理學系</t>
    <phoneticPr fontId="1" type="noConversion"/>
  </si>
  <si>
    <t>景觀建築設計學系</t>
  </si>
  <si>
    <t>風險管理學系</t>
  </si>
  <si>
    <t>財務管理學系</t>
  </si>
  <si>
    <t>院內</t>
    <phoneticPr fontId="1" type="noConversion"/>
  </si>
  <si>
    <t>跨院</t>
    <phoneticPr fontId="1" type="noConversion"/>
  </si>
  <si>
    <t>碩士</t>
    <phoneticPr fontId="1" type="noConversion"/>
  </si>
  <si>
    <t>日學</t>
    <phoneticPr fontId="1" type="noConversion"/>
  </si>
  <si>
    <t>日學</t>
    <phoneticPr fontId="1" type="noConversion"/>
  </si>
  <si>
    <t>日學</t>
    <phoneticPr fontId="1" type="noConversion"/>
  </si>
  <si>
    <t>校規劃</t>
    <phoneticPr fontId="1" type="noConversion"/>
  </si>
  <si>
    <t>無</t>
    <phoneticPr fontId="1" type="noConversion"/>
  </si>
  <si>
    <r>
      <t xml:space="preserve">備註說明
</t>
    </r>
    <r>
      <rPr>
        <sz val="10"/>
        <color theme="1"/>
        <rFont val="微軟正黑體"/>
        <family val="2"/>
        <charset val="136"/>
      </rPr>
      <t>(</t>
    </r>
    <r>
      <rPr>
        <sz val="10"/>
        <color rgb="FFC00000"/>
        <rFont val="微軟正黑體"/>
        <family val="2"/>
        <charset val="136"/>
      </rPr>
      <t>須具體列點敘明名額調整之背景因素與需求</t>
    </r>
    <r>
      <rPr>
        <sz val="10"/>
        <color theme="1"/>
        <rFont val="微軟正黑體"/>
        <family val="2"/>
        <charset val="136"/>
      </rPr>
      <t>)</t>
    </r>
    <phoneticPr fontId="1" type="noConversion"/>
  </si>
  <si>
    <r>
      <t xml:space="preserve">接收/釋出單位
</t>
    </r>
    <r>
      <rPr>
        <sz val="10"/>
        <color theme="1"/>
        <rFont val="微軟正黑體"/>
        <family val="2"/>
        <charset val="136"/>
      </rPr>
      <t>(無規劃可免填)</t>
    </r>
    <phoneticPr fontId="1" type="noConversion"/>
  </si>
  <si>
    <t>近2年平均報考數已低於招生名額，故進行規模縮減。</t>
    <phoneticPr fontId="1" type="noConversion"/>
  </si>
  <si>
    <t>現階段財務管理市場高階人力需求高漲，加上報考率已達10%，可增額因應市場人力需求。</t>
    <phoneticPr fontId="1" type="noConversion"/>
  </si>
  <si>
    <t>近三年註冊率已達平均96%，含外加名額亦可達98%，該領域招生前景頗佳。</t>
    <phoneticPr fontId="1" type="noConversion"/>
  </si>
  <si>
    <t>舞蹈學系</t>
  </si>
  <si>
    <t>國術學系</t>
    <phoneticPr fontId="1" type="noConversion"/>
  </si>
  <si>
    <t>預計逐年陸續縮減規模，三年後併入表演藝術學系之學籍分組。</t>
    <phoneticPr fontId="1" type="noConversion"/>
  </si>
  <si>
    <t>老人照護學系</t>
    <phoneticPr fontId="1" type="noConversion"/>
  </si>
  <si>
    <t>因本系實習學分比例較高，加上長時間校外實習需搭配教師協助，故配合系內分組需求釋出部分名額。</t>
    <phoneticPr fontId="1" type="noConversion"/>
  </si>
  <si>
    <r>
      <t>名額流用僅限於</t>
    </r>
    <r>
      <rPr>
        <b/>
        <sz val="11"/>
        <color rgb="FFFF0000"/>
        <rFont val="微軟正黑體"/>
        <family val="2"/>
        <charset val="136"/>
      </rPr>
      <t>平行班制間進行調整</t>
    </r>
    <r>
      <rPr>
        <sz val="11"/>
        <color theme="1"/>
        <rFont val="微軟正黑體"/>
        <family val="2"/>
        <charset val="136"/>
      </rPr>
      <t>，例如碩士班名額可流用碩士班，但不可流用碩專班或博士班等。</t>
    </r>
    <phoneticPr fontId="1" type="noConversion"/>
  </si>
  <si>
    <t>調整規劃</t>
    <phoneticPr fontId="1" type="noConversion"/>
  </si>
  <si>
    <t>建築設計學系</t>
    <phoneticPr fontId="1" type="noConversion"/>
  </si>
  <si>
    <t>推薦
順序</t>
    <phoneticPr fontId="1" type="noConversion"/>
  </si>
  <si>
    <t>調整
班制</t>
    <phoneticPr fontId="1" type="noConversion"/>
  </si>
  <si>
    <r>
      <t>應註明其調整規畫方式：</t>
    </r>
    <r>
      <rPr>
        <b/>
        <sz val="11"/>
        <color rgb="FFFF0000"/>
        <rFont val="微軟正黑體"/>
        <family val="2"/>
        <charset val="136"/>
      </rPr>
      <t>院內</t>
    </r>
    <r>
      <rPr>
        <sz val="11"/>
        <rFont val="微軟正黑體"/>
        <family val="2"/>
        <charset val="136"/>
      </rPr>
      <t>調整</t>
    </r>
    <r>
      <rPr>
        <sz val="11"/>
        <color theme="1"/>
        <rFont val="微軟正黑體"/>
        <family val="2"/>
        <charset val="136"/>
      </rPr>
      <t>、</t>
    </r>
    <r>
      <rPr>
        <b/>
        <sz val="11"/>
        <color rgb="FFFF0000"/>
        <rFont val="微軟正黑體"/>
        <family val="2"/>
        <charset val="136"/>
      </rPr>
      <t>跨院</t>
    </r>
    <r>
      <rPr>
        <sz val="11"/>
        <rFont val="微軟正黑體"/>
        <family val="2"/>
        <charset val="136"/>
      </rPr>
      <t>調整</t>
    </r>
    <r>
      <rPr>
        <sz val="11"/>
        <color theme="1"/>
        <rFont val="微軟正黑體"/>
        <family val="2"/>
        <charset val="136"/>
      </rPr>
      <t>、交由</t>
    </r>
    <r>
      <rPr>
        <b/>
        <sz val="11"/>
        <color rgb="FFFF0000"/>
        <rFont val="微軟正黑體"/>
        <family val="2"/>
        <charset val="136"/>
      </rPr>
      <t>校規劃</t>
    </r>
    <r>
      <rPr>
        <sz val="11"/>
        <color theme="1"/>
        <rFont val="微軟正黑體"/>
        <family val="2"/>
        <charset val="136"/>
      </rPr>
      <t>。申請</t>
    </r>
    <r>
      <rPr>
        <b/>
        <sz val="11"/>
        <color rgb="FF0000FF"/>
        <rFont val="微軟正黑體"/>
        <family val="2"/>
        <charset val="136"/>
      </rPr>
      <t>增額單位</t>
    </r>
    <r>
      <rPr>
        <sz val="11"/>
        <color theme="1"/>
        <rFont val="微軟正黑體"/>
        <family val="2"/>
        <charset val="136"/>
      </rPr>
      <t>須加填「</t>
    </r>
    <r>
      <rPr>
        <b/>
        <sz val="11"/>
        <color rgb="FF0000FF"/>
        <rFont val="微軟正黑體"/>
        <family val="2"/>
        <charset val="136"/>
      </rPr>
      <t>增額單位說明表</t>
    </r>
    <r>
      <rPr>
        <sz val="11"/>
        <color theme="1"/>
        <rFont val="微軟正黑體"/>
        <family val="2"/>
        <charset val="136"/>
      </rPr>
      <t>」。
如具明確規劃者，請</t>
    </r>
    <r>
      <rPr>
        <b/>
        <sz val="11"/>
        <color rgb="FFFF0000"/>
        <rFont val="微軟正黑體"/>
        <family val="2"/>
        <charset val="136"/>
      </rPr>
      <t>接受/釋出名額單位亦須填報本欄</t>
    </r>
    <r>
      <rPr>
        <sz val="11"/>
        <color theme="1"/>
        <rFont val="微軟正黑體"/>
        <family val="2"/>
        <charset val="136"/>
      </rPr>
      <t>；跨院規劃者，無論</t>
    </r>
    <r>
      <rPr>
        <b/>
        <sz val="11"/>
        <color rgb="FFFF0000"/>
        <rFont val="微軟正黑體"/>
        <family val="2"/>
        <charset val="136"/>
      </rPr>
      <t>接收與釋出單位所屬學院均需填報本表</t>
    </r>
    <r>
      <rPr>
        <sz val="11"/>
        <color theme="1"/>
        <rFont val="微軟正黑體"/>
        <family val="2"/>
        <charset val="136"/>
      </rPr>
      <t>且</t>
    </r>
    <r>
      <rPr>
        <b/>
        <sz val="11"/>
        <color rgb="FFFF0000"/>
        <rFont val="微軟正黑體"/>
        <family val="2"/>
        <charset val="136"/>
      </rPr>
      <t>僅提列所屬系所即可</t>
    </r>
    <r>
      <rPr>
        <sz val="11"/>
        <color theme="1"/>
        <rFont val="微軟正黑體"/>
        <family val="2"/>
        <charset val="136"/>
      </rPr>
      <t>。</t>
    </r>
    <phoneticPr fontId="1" type="noConversion"/>
  </si>
  <si>
    <t>推薦順序</t>
    <phoneticPr fontId="1" type="noConversion"/>
  </si>
  <si>
    <t>調整班制</t>
    <phoneticPr fontId="1" type="noConversion"/>
  </si>
  <si>
    <t>LED光電製程設計碩士學位學程</t>
    <phoneticPr fontId="1" type="noConversion"/>
  </si>
  <si>
    <r>
      <t>本表</t>
    </r>
    <r>
      <rPr>
        <b/>
        <sz val="11"/>
        <color rgb="FFFF0000"/>
        <rFont val="微軟正黑體"/>
        <family val="2"/>
        <charset val="136"/>
      </rPr>
      <t>黃底</t>
    </r>
    <r>
      <rPr>
        <sz val="11"/>
        <color theme="1"/>
        <rFont val="微軟正黑體"/>
        <family val="2"/>
        <charset val="136"/>
      </rPr>
      <t>部分</t>
    </r>
    <r>
      <rPr>
        <b/>
        <sz val="11"/>
        <color rgb="FFFF0000"/>
        <rFont val="微軟正黑體"/>
        <family val="2"/>
        <charset val="136"/>
      </rPr>
      <t>純屬參考範例</t>
    </r>
    <r>
      <rPr>
        <sz val="11"/>
        <color theme="1"/>
        <rFont val="微軟正黑體"/>
        <family val="2"/>
        <charset val="136"/>
      </rPr>
      <t>，列印紙本時</t>
    </r>
    <r>
      <rPr>
        <b/>
        <sz val="11"/>
        <color rgb="FFFF0000"/>
        <rFont val="微軟正黑體"/>
        <family val="2"/>
        <charset val="136"/>
      </rPr>
      <t>可隱藏欄位或直接刪除</t>
    </r>
    <r>
      <rPr>
        <sz val="11"/>
        <color theme="1"/>
        <rFont val="微軟正黑體"/>
        <family val="2"/>
        <charset val="136"/>
      </rPr>
      <t>，無須再列出黃底欄位</t>
    </r>
    <r>
      <rPr>
        <sz val="11"/>
        <color theme="1"/>
        <rFont val="微軟正黑體"/>
        <family val="2"/>
        <charset val="136"/>
      </rPr>
      <t>。</t>
    </r>
    <phoneticPr fontId="1" type="noConversion"/>
  </si>
  <si>
    <t>申請增額人數</t>
    <phoneticPr fontId="1" type="noConversion"/>
  </si>
  <si>
    <r>
      <t xml:space="preserve">近三年註冊率
</t>
    </r>
    <r>
      <rPr>
        <b/>
        <sz val="10"/>
        <color rgb="FF0000FF"/>
        <rFont val="微軟正黑體"/>
        <family val="2"/>
        <charset val="136"/>
      </rPr>
      <t>新生註冊人數(不含外加) / 核定名額</t>
    </r>
    <phoneticPr fontId="1" type="noConversion"/>
  </si>
  <si>
    <t>招生在學統計數據定義</t>
    <phoneticPr fontId="1" type="noConversion"/>
  </si>
  <si>
    <t>c.  最末年在學率：</t>
    <phoneticPr fontId="1" type="noConversion"/>
  </si>
  <si>
    <t>a.  註冊率：</t>
    <phoneticPr fontId="1" type="noConversion"/>
  </si>
  <si>
    <t>d.  生師比：</t>
    <phoneticPr fontId="1" type="noConversion"/>
  </si>
  <si>
    <t>b.  報考率：</t>
    <phoneticPr fontId="1" type="noConversion"/>
  </si>
  <si>
    <r>
      <t xml:space="preserve">近三年報考率
</t>
    </r>
    <r>
      <rPr>
        <b/>
        <sz val="10"/>
        <color rgb="FF0000FF"/>
        <rFont val="微軟正黑體"/>
        <family val="2"/>
        <charset val="136"/>
      </rPr>
      <t>核定名額 / 報考人數</t>
    </r>
    <phoneticPr fontId="1" type="noConversion"/>
  </si>
  <si>
    <r>
      <t xml:space="preserve">近三年報考數
</t>
    </r>
    <r>
      <rPr>
        <b/>
        <sz val="10"/>
        <color rgb="FF0000FF"/>
        <rFont val="微軟正黑體"/>
        <family val="2"/>
        <charset val="136"/>
      </rPr>
      <t>應屆報考人數</t>
    </r>
    <phoneticPr fontId="1" type="noConversion"/>
  </si>
  <si>
    <r>
      <rPr>
        <b/>
        <sz val="11"/>
        <color rgb="FFFF0000"/>
        <rFont val="微軟正黑體"/>
        <family val="2"/>
        <charset val="136"/>
      </rPr>
      <t>不含各項外加管道</t>
    </r>
    <r>
      <rPr>
        <sz val="11"/>
        <color theme="1"/>
        <rFont val="微軟正黑體"/>
        <family val="2"/>
        <charset val="136"/>
      </rPr>
      <t xml:space="preserve">入學之應屆考生註冊人數   </t>
    </r>
    <r>
      <rPr>
        <b/>
        <sz val="11"/>
        <color rgb="FF0000FF"/>
        <rFont val="微軟正黑體"/>
        <family val="2"/>
        <charset val="136"/>
      </rPr>
      <t>除以</t>
    </r>
    <r>
      <rPr>
        <sz val="11"/>
        <color theme="1"/>
        <rFont val="微軟正黑體"/>
        <family val="2"/>
        <charset val="136"/>
      </rPr>
      <t xml:space="preserve">  核定名額(亦即應屆對外招生名額)。</t>
    </r>
    <phoneticPr fontId="1" type="noConversion"/>
  </si>
  <si>
    <r>
      <t>各屆</t>
    </r>
    <r>
      <rPr>
        <b/>
        <sz val="11"/>
        <color rgb="FFFF0000"/>
        <rFont val="微軟正黑體"/>
        <family val="2"/>
        <charset val="136"/>
      </rPr>
      <t>對外招生之核定名額</t>
    </r>
    <r>
      <rPr>
        <sz val="11"/>
        <color theme="1"/>
        <rFont val="微軟正黑體"/>
        <family val="2"/>
        <charset val="136"/>
      </rPr>
      <t xml:space="preserve">   </t>
    </r>
    <r>
      <rPr>
        <b/>
        <sz val="11"/>
        <color rgb="FF0000FF"/>
        <rFont val="微軟正黑體"/>
        <family val="2"/>
        <charset val="136"/>
      </rPr>
      <t>除以</t>
    </r>
    <r>
      <rPr>
        <sz val="11"/>
        <color theme="1"/>
        <rFont val="微軟正黑體"/>
        <family val="2"/>
        <charset val="136"/>
      </rPr>
      <t xml:space="preserve">   </t>
    </r>
    <r>
      <rPr>
        <sz val="11"/>
        <rFont val="微軟正黑體"/>
        <family val="2"/>
        <charset val="136"/>
      </rPr>
      <t>報考人數</t>
    </r>
    <r>
      <rPr>
        <sz val="11"/>
        <color theme="1"/>
        <rFont val="微軟正黑體"/>
        <family val="2"/>
        <charset val="136"/>
      </rPr>
      <t>(亦即甄試+單招+考試入學等</t>
    </r>
    <r>
      <rPr>
        <b/>
        <sz val="11"/>
        <color rgb="FFFF0000"/>
        <rFont val="微軟正黑體"/>
        <family val="2"/>
        <charset val="136"/>
      </rPr>
      <t>各項入學管道報考人數總和</t>
    </r>
    <r>
      <rPr>
        <sz val="11"/>
        <color theme="1"/>
        <rFont val="微軟正黑體"/>
        <family val="2"/>
        <charset val="136"/>
      </rPr>
      <t>)</t>
    </r>
    <phoneticPr fontId="1" type="noConversion"/>
  </si>
  <si>
    <r>
      <rPr>
        <b/>
        <sz val="11"/>
        <color rgb="FFFF0000"/>
        <rFont val="微軟正黑體"/>
        <family val="2"/>
        <charset val="136"/>
      </rPr>
      <t>不含各項外加管道</t>
    </r>
    <r>
      <rPr>
        <sz val="11"/>
        <color theme="1"/>
        <rFont val="微軟正黑體"/>
        <family val="2"/>
        <charset val="136"/>
      </rPr>
      <t>入學之</t>
    </r>
    <r>
      <rPr>
        <b/>
        <sz val="11"/>
        <color rgb="FFFF0000"/>
        <rFont val="微軟正黑體"/>
        <family val="2"/>
        <charset val="136"/>
      </rPr>
      <t>繳交全額學雜費最末年在學</t>
    </r>
    <r>
      <rPr>
        <sz val="11"/>
        <color theme="1"/>
        <rFont val="微軟正黑體"/>
        <family val="2"/>
        <charset val="136"/>
      </rPr>
      <t xml:space="preserve">人數(學士4年級；碩博士2年級)  </t>
    </r>
    <r>
      <rPr>
        <b/>
        <sz val="11"/>
        <color rgb="FF0000FF"/>
        <rFont val="微軟正黑體"/>
        <family val="2"/>
        <charset val="136"/>
      </rPr>
      <t xml:space="preserve"> 除以</t>
    </r>
    <r>
      <rPr>
        <sz val="11"/>
        <color theme="1"/>
        <rFont val="微軟正黑體"/>
        <family val="2"/>
        <charset val="136"/>
      </rPr>
      <t xml:space="preserve">   入學當屆核定名額</t>
    </r>
    <phoneticPr fontId="1" type="noConversion"/>
  </si>
  <si>
    <r>
      <t xml:space="preserve">近三年最末年在學率
</t>
    </r>
    <r>
      <rPr>
        <b/>
        <sz val="10"/>
        <color rgb="FF0000FF"/>
        <rFont val="微軟正黑體"/>
        <family val="2"/>
        <charset val="136"/>
      </rPr>
      <t>最末年在學人數(不含外加) / 入學當屆核定名額</t>
    </r>
    <phoneticPr fontId="1" type="noConversion"/>
  </si>
  <si>
    <r>
      <t xml:space="preserve">基礎公式如右--   加權學生數   </t>
    </r>
    <r>
      <rPr>
        <b/>
        <sz val="11"/>
        <color rgb="FF0000FF"/>
        <rFont val="微軟正黑體"/>
        <family val="2"/>
        <charset val="136"/>
      </rPr>
      <t>除以</t>
    </r>
    <r>
      <rPr>
        <sz val="11"/>
        <color theme="1"/>
        <rFont val="微軟正黑體"/>
        <family val="2"/>
        <charset val="136"/>
      </rPr>
      <t xml:space="preserve">   專兼師資折算數
※加權學生數--日學*1 +  進學*0.5  +  碩士*2  +  碩專*1.6  +  博士*3
※專兼任師資折算數--「各系</t>
    </r>
    <r>
      <rPr>
        <b/>
        <sz val="11"/>
        <color rgb="FFFF0000"/>
        <rFont val="微軟正黑體"/>
        <family val="2"/>
        <charset val="136"/>
      </rPr>
      <t>主聘</t>
    </r>
    <r>
      <rPr>
        <sz val="11"/>
        <color theme="1"/>
        <rFont val="微軟正黑體"/>
        <family val="2"/>
        <charset val="136"/>
      </rPr>
      <t xml:space="preserve">之專任師資數」  </t>
    </r>
    <r>
      <rPr>
        <b/>
        <sz val="11"/>
        <color rgb="FF0000FF"/>
        <rFont val="微軟正黑體"/>
        <family val="2"/>
        <charset val="136"/>
      </rPr>
      <t>加上</t>
    </r>
    <r>
      <rPr>
        <sz val="11"/>
        <color theme="1"/>
        <rFont val="微軟正黑體"/>
        <family val="2"/>
        <charset val="136"/>
      </rPr>
      <t xml:space="preserve">  「</t>
    </r>
    <r>
      <rPr>
        <b/>
        <sz val="11"/>
        <color rgb="FF7030A0"/>
        <rFont val="微軟正黑體"/>
        <family val="2"/>
        <charset val="136"/>
      </rPr>
      <t>1/3</t>
    </r>
    <r>
      <rPr>
        <sz val="11"/>
        <color theme="1"/>
        <rFont val="微軟正黑體"/>
        <family val="2"/>
        <charset val="136"/>
      </rPr>
      <t>專任師資數-</t>
    </r>
    <r>
      <rPr>
        <b/>
        <sz val="11"/>
        <color rgb="FF7030A0"/>
        <rFont val="微軟正黑體"/>
        <family val="2"/>
        <charset val="136"/>
      </rPr>
      <t>非藝術展演類系所</t>
    </r>
    <r>
      <rPr>
        <sz val="11"/>
        <color theme="1"/>
        <rFont val="微軟正黑體"/>
        <family val="2"/>
        <charset val="136"/>
      </rPr>
      <t>」 ；「</t>
    </r>
    <r>
      <rPr>
        <b/>
        <sz val="11"/>
        <color rgb="FF7030A0"/>
        <rFont val="微軟正黑體"/>
        <family val="2"/>
        <charset val="136"/>
      </rPr>
      <t>1/2</t>
    </r>
    <r>
      <rPr>
        <sz val="11"/>
        <color theme="1"/>
        <rFont val="微軟正黑體"/>
        <family val="2"/>
        <charset val="136"/>
      </rPr>
      <t>專任師資數-</t>
    </r>
    <r>
      <rPr>
        <b/>
        <sz val="11"/>
        <color rgb="FF7030A0"/>
        <rFont val="微軟正黑體"/>
        <family val="2"/>
        <charset val="136"/>
      </rPr>
      <t>藝術展演類系所</t>
    </r>
    <r>
      <rPr>
        <sz val="11"/>
        <color theme="1"/>
        <rFont val="微軟正黑體"/>
        <family val="2"/>
        <charset val="136"/>
      </rPr>
      <t xml:space="preserve">」
                                                                                                      </t>
    </r>
    <r>
      <rPr>
        <b/>
        <sz val="11"/>
        <color rgb="FF0000FF"/>
        <rFont val="微軟正黑體"/>
        <family val="2"/>
        <charset val="136"/>
      </rPr>
      <t>或是</t>
    </r>
    <r>
      <rPr>
        <sz val="11"/>
        <color theme="1"/>
        <rFont val="微軟正黑體"/>
        <family val="2"/>
        <charset val="136"/>
      </rPr>
      <t xml:space="preserve">
                                                                                          「</t>
    </r>
    <r>
      <rPr>
        <b/>
        <sz val="11"/>
        <color rgb="FF7030A0"/>
        <rFont val="微軟正黑體"/>
        <family val="2"/>
        <charset val="136"/>
      </rPr>
      <t>1/4</t>
    </r>
    <r>
      <rPr>
        <sz val="11"/>
        <color theme="1"/>
        <rFont val="微軟正黑體"/>
        <family val="2"/>
        <charset val="136"/>
      </rPr>
      <t xml:space="preserve">兼任師資數」
</t>
    </r>
    <r>
      <rPr>
        <sz val="11"/>
        <color theme="9" tint="-0.499984740745262"/>
        <rFont val="微軟正黑體"/>
        <family val="2"/>
        <charset val="136"/>
      </rPr>
      <t xml:space="preserve">                                                                                    </t>
    </r>
    <r>
      <rPr>
        <b/>
        <sz val="11"/>
        <color theme="9" tint="-0.499984740745262"/>
        <rFont val="微軟正黑體"/>
        <family val="2"/>
        <charset val="136"/>
      </rPr>
      <t xml:space="preserve">    ●師資折算數應取上開兩者中最小折算值後，再與各系主聘專任師資數進行加總！！</t>
    </r>
    <phoneticPr fontId="1" type="noConversion"/>
  </si>
  <si>
    <t>助理教授</t>
    <phoneticPr fontId="20" type="noConversion"/>
  </si>
  <si>
    <t>專兼任師資折算數</t>
    <phoneticPr fontId="20" type="noConversion"/>
  </si>
  <si>
    <t>支援系所A</t>
  </si>
  <si>
    <t>(請系所自填)</t>
  </si>
  <si>
    <r>
      <t>招生名額增額比例</t>
    </r>
    <r>
      <rPr>
        <b/>
        <u/>
        <sz val="13"/>
        <color rgb="FFFF0000"/>
        <rFont val="微軟正黑體"/>
        <family val="2"/>
        <charset val="136"/>
      </rPr>
      <t>超過原招生規模50%以上</t>
    </r>
    <r>
      <rPr>
        <sz val="13"/>
        <color theme="1"/>
        <rFont val="微軟正黑體"/>
        <family val="2"/>
        <charset val="136"/>
      </rPr>
      <t>者，不屬於微幅增減額調整類型，須比照「</t>
    </r>
    <r>
      <rPr>
        <b/>
        <sz val="13"/>
        <color rgb="FFFF0000"/>
        <rFont val="微軟正黑體"/>
        <family val="2"/>
        <charset val="136"/>
      </rPr>
      <t>增班申請案</t>
    </r>
    <r>
      <rPr>
        <sz val="13"/>
        <color theme="1"/>
        <rFont val="微軟正黑體"/>
        <family val="2"/>
        <charset val="136"/>
      </rPr>
      <t>」進行提案申請。</t>
    </r>
    <phoneticPr fontId="1" type="noConversion"/>
  </si>
  <si>
    <t>填表人：</t>
    <phoneticPr fontId="20" type="noConversion"/>
  </si>
  <si>
    <t>分機：</t>
    <phoneticPr fontId="20" type="noConversion"/>
  </si>
  <si>
    <t>單位主管：</t>
    <phoneticPr fontId="20" type="noConversion"/>
  </si>
  <si>
    <t>一級單位主管：</t>
    <phoneticPr fontId="20" type="noConversion"/>
  </si>
  <si>
    <t>五、競爭校系：</t>
    <phoneticPr fontId="1" type="noConversion"/>
  </si>
  <si>
    <t>填表說明：請提供同領域至少3個標竿等級學校，以及3個同級競爭學校。(詳參表內範例)</t>
    <phoneticPr fontId="1" type="noConversion"/>
  </si>
  <si>
    <t>填表說明：請提供同領域至少3個標竿等級學校，以及3個同級競爭學校。(詳參表內範例)</t>
    <phoneticPr fontId="1" type="noConversion"/>
  </si>
  <si>
    <t>排序</t>
    <phoneticPr fontId="1" type="noConversion"/>
  </si>
  <si>
    <t>學校</t>
    <phoneticPr fontId="1" type="noConversion"/>
  </si>
  <si>
    <t>系所</t>
    <phoneticPr fontId="1" type="noConversion"/>
  </si>
  <si>
    <t>招生人數</t>
    <phoneticPr fontId="1" type="noConversion"/>
  </si>
  <si>
    <t>辦學特色或強項</t>
    <phoneticPr fontId="1" type="noConversion"/>
  </si>
  <si>
    <t>日學</t>
    <phoneticPr fontId="1" type="noConversion"/>
  </si>
  <si>
    <t>進學(含二年制)</t>
    <phoneticPr fontId="1" type="noConversion"/>
  </si>
  <si>
    <t>碩士</t>
    <phoneticPr fontId="1" type="noConversion"/>
  </si>
  <si>
    <t>碩專</t>
    <phoneticPr fontId="1" type="noConversion"/>
  </si>
  <si>
    <t>博士</t>
    <phoneticPr fontId="1" type="noConversion"/>
  </si>
  <si>
    <t>輔大</t>
    <phoneticPr fontId="1" type="noConversion"/>
  </si>
  <si>
    <t>輔大</t>
    <phoneticPr fontId="1" type="noConversion"/>
  </si>
  <si>
    <t>風險管理系</t>
    <phoneticPr fontId="1" type="noConversion"/>
  </si>
  <si>
    <t>標竿</t>
    <phoneticPr fontId="1" type="noConversion"/>
  </si>
  <si>
    <t>A大</t>
    <phoneticPr fontId="1" type="noConversion"/>
  </si>
  <si>
    <t>A大</t>
    <phoneticPr fontId="1" type="noConversion"/>
  </si>
  <si>
    <t>風險管理暨保險系</t>
    <phoneticPr fontId="1" type="noConversion"/>
  </si>
  <si>
    <t>風險策略研究</t>
    <phoneticPr fontId="1" type="noConversion"/>
  </si>
  <si>
    <t>標竿</t>
    <phoneticPr fontId="1" type="noConversion"/>
  </si>
  <si>
    <t>B大</t>
    <phoneticPr fontId="1" type="noConversion"/>
  </si>
  <si>
    <t>B大</t>
    <phoneticPr fontId="1" type="noConversion"/>
  </si>
  <si>
    <t>風險分析系</t>
    <phoneticPr fontId="1" type="noConversion"/>
  </si>
  <si>
    <t>區域開發評估</t>
    <phoneticPr fontId="1" type="noConversion"/>
  </si>
  <si>
    <t>C大</t>
    <phoneticPr fontId="1" type="noConversion"/>
  </si>
  <si>
    <t>財經法律與精算科學</t>
    <phoneticPr fontId="1" type="noConversion"/>
  </si>
  <si>
    <t>同級</t>
    <phoneticPr fontId="1" type="noConversion"/>
  </si>
  <si>
    <t>D大</t>
    <phoneticPr fontId="1" type="noConversion"/>
  </si>
  <si>
    <t>投資風險分析系</t>
    <phoneticPr fontId="1" type="noConversion"/>
  </si>
  <si>
    <t>財務管理及保險學</t>
    <phoneticPr fontId="1" type="noConversion"/>
  </si>
  <si>
    <t>E大</t>
    <phoneticPr fontId="1" type="noConversion"/>
  </si>
  <si>
    <t>健康風險管理</t>
    <phoneticPr fontId="1" type="noConversion"/>
  </si>
  <si>
    <t>同級</t>
    <phoneticPr fontId="1" type="noConversion"/>
  </si>
  <si>
    <t>F大</t>
    <phoneticPr fontId="1" type="noConversion"/>
  </si>
  <si>
    <t>風險暨保險系</t>
    <phoneticPr fontId="1" type="noConversion"/>
  </si>
  <si>
    <t>財務管理與實務專題操作</t>
    <phoneticPr fontId="1" type="noConversion"/>
  </si>
  <si>
    <t>五、同類學院：僅新設學院需填報下表</t>
    <phoneticPr fontId="1" type="noConversion"/>
  </si>
  <si>
    <t>排序</t>
    <phoneticPr fontId="1" type="noConversion"/>
  </si>
  <si>
    <t>學校</t>
    <phoneticPr fontId="1" type="noConversion"/>
  </si>
  <si>
    <t>學院</t>
    <phoneticPr fontId="1" type="noConversion"/>
  </si>
  <si>
    <t>所轄系所</t>
    <phoneticPr fontId="1" type="noConversion"/>
  </si>
  <si>
    <t>輔大</t>
    <phoneticPr fontId="1" type="noConversion"/>
  </si>
  <si>
    <t>商學院</t>
  </si>
  <si>
    <t>企業管理學系、金融學系、科技管理研究所、風險管理與保險學系、財務管理學系、商管專業學院碩士學位學程、國際經營管理英語碩士學位學程、國際經營與貿易學系、統計學系、智慧財產研究所、會計學系、經營管理碩士學程、資訊管理學系、管理碩士學程</t>
    <phoneticPr fontId="1" type="noConversion"/>
  </si>
  <si>
    <t>亞洲管理課程</t>
    <phoneticPr fontId="1" type="noConversion"/>
  </si>
  <si>
    <t>標竿</t>
    <phoneticPr fontId="1" type="noConversion"/>
  </si>
  <si>
    <t>財務金融學院</t>
  </si>
  <si>
    <t>會計資訊系、金融系、金融系碩士班理財組、財務管理系、財務金融研究所、風險管理與保險系</t>
    <phoneticPr fontId="1" type="noConversion"/>
  </si>
  <si>
    <t>投資理財和投資組合管理的應用
模擬實驗室的操作</t>
    <phoneticPr fontId="1" type="noConversion"/>
  </si>
  <si>
    <t>C大</t>
    <phoneticPr fontId="1" type="noConversion"/>
  </si>
  <si>
    <t>金融學院</t>
  </si>
  <si>
    <t>金融博士學位學程、金融碩士在職專班、財務金融學系、風險管理與保險學系</t>
    <phoneticPr fontId="1" type="noConversion"/>
  </si>
  <si>
    <t>發展最健全的保險相關科系</t>
    <phoneticPr fontId="1" type="noConversion"/>
  </si>
  <si>
    <t>管理學院</t>
    <phoneticPr fontId="1" type="noConversion"/>
  </si>
  <si>
    <t>會計學系、企業管理學系、國際經營與貿易學系、財務金融學系、高階經營管理碩士在職專班、統計學系、資訊管理學系</t>
    <phoneticPr fontId="1" type="noConversion"/>
  </si>
  <si>
    <t>管理教育與研究</t>
    <phoneticPr fontId="1" type="noConversion"/>
  </si>
  <si>
    <t>財經學群</t>
    <phoneticPr fontId="1" type="noConversion"/>
  </si>
  <si>
    <t>會計資訊系、會計財稅研究所、國際商務系、財務金融系、財政稅務系</t>
    <phoneticPr fontId="1" type="noConversion"/>
  </si>
  <si>
    <t>會計稅務專業</t>
    <phoneticPr fontId="1" type="noConversion"/>
  </si>
  <si>
    <t>同級</t>
    <phoneticPr fontId="1" type="noConversion"/>
  </si>
  <si>
    <t>F大</t>
    <phoneticPr fontId="1" type="noConversion"/>
  </si>
  <si>
    <t>商學與管理學院</t>
  </si>
  <si>
    <t>會計資訊科、會計資訊系、企業管理科、企業管理系、國際貿易運籌科、國際貿易運籌系、財務金融系、金融與風險管理系、行銷與流通管理系、財經法律系</t>
    <phoneticPr fontId="1" type="noConversion"/>
  </si>
  <si>
    <t>跨領域之科系整合課程</t>
    <phoneticPr fontId="1" type="noConversion"/>
  </si>
  <si>
    <t>風險分析系</t>
  </si>
  <si>
    <t>投資風險管理分析</t>
    <phoneticPr fontId="1" type="noConversion"/>
  </si>
  <si>
    <t>招生在學定義：</t>
    <phoneticPr fontId="1" type="noConversion"/>
  </si>
  <si>
    <r>
      <rPr>
        <b/>
        <sz val="13"/>
        <color rgb="FFFF0000"/>
        <rFont val="微軟正黑體"/>
        <family val="2"/>
        <charset val="136"/>
      </rPr>
      <t>不含各項外加管道</t>
    </r>
    <r>
      <rPr>
        <sz val="13"/>
        <color theme="1"/>
        <rFont val="微軟正黑體"/>
        <family val="2"/>
        <charset val="136"/>
      </rPr>
      <t xml:space="preserve">入學之應屆考生註冊人數   </t>
    </r>
    <r>
      <rPr>
        <b/>
        <sz val="13"/>
        <color rgb="FF0000FF"/>
        <rFont val="微軟正黑體"/>
        <family val="2"/>
        <charset val="136"/>
      </rPr>
      <t>除以</t>
    </r>
    <r>
      <rPr>
        <sz val="13"/>
        <color theme="1"/>
        <rFont val="微軟正黑體"/>
        <family val="2"/>
        <charset val="136"/>
      </rPr>
      <t xml:space="preserve">  核定名額(亦即應屆對外招生名額)。</t>
    </r>
    <phoneticPr fontId="1" type="noConversion"/>
  </si>
  <si>
    <r>
      <t>本表</t>
    </r>
    <r>
      <rPr>
        <b/>
        <sz val="11"/>
        <color rgb="FFFF0000"/>
        <rFont val="微軟正黑體"/>
        <family val="2"/>
        <charset val="136"/>
      </rPr>
      <t>黃底</t>
    </r>
    <r>
      <rPr>
        <sz val="11"/>
        <color theme="1"/>
        <rFont val="微軟正黑體"/>
        <family val="2"/>
        <charset val="136"/>
      </rPr>
      <t>部分</t>
    </r>
    <r>
      <rPr>
        <b/>
        <sz val="11"/>
        <color rgb="FFFF0000"/>
        <rFont val="微軟正黑體"/>
        <family val="2"/>
        <charset val="136"/>
      </rPr>
      <t>純屬參考範例</t>
    </r>
    <r>
      <rPr>
        <sz val="11"/>
        <color theme="1"/>
        <rFont val="微軟正黑體"/>
        <family val="2"/>
        <charset val="136"/>
      </rPr>
      <t>，列印紙本時</t>
    </r>
    <r>
      <rPr>
        <b/>
        <sz val="11"/>
        <color rgb="FFFF0000"/>
        <rFont val="微軟正黑體"/>
        <family val="2"/>
        <charset val="136"/>
      </rPr>
      <t>可隱藏欄位或直接刪除</t>
    </r>
    <r>
      <rPr>
        <sz val="11"/>
        <color theme="1"/>
        <rFont val="微軟正黑體"/>
        <family val="2"/>
        <charset val="136"/>
      </rPr>
      <t xml:space="preserve">，無須再列出黃底欄位；
</t>
    </r>
    <r>
      <rPr>
        <b/>
        <sz val="11"/>
        <color rgb="FF0000FF"/>
        <rFont val="微軟正黑體"/>
        <family val="2"/>
        <charset val="136"/>
      </rPr>
      <t>藍底</t>
    </r>
    <r>
      <rPr>
        <sz val="11"/>
        <color theme="1"/>
        <rFont val="微軟正黑體"/>
        <family val="2"/>
        <charset val="136"/>
      </rPr>
      <t>部分為套用</t>
    </r>
    <r>
      <rPr>
        <b/>
        <sz val="11"/>
        <color rgb="FF0000FF"/>
        <rFont val="微軟正黑體"/>
        <family val="2"/>
        <charset val="136"/>
      </rPr>
      <t>公式欄位</t>
    </r>
    <r>
      <rPr>
        <sz val="11"/>
        <color theme="1"/>
        <rFont val="微軟正黑體"/>
        <family val="2"/>
        <charset val="136"/>
      </rPr>
      <t>，填妥前後欄位後可自動加總計算，</t>
    </r>
    <r>
      <rPr>
        <b/>
        <sz val="11"/>
        <color rgb="FF0000FF"/>
        <rFont val="微軟正黑體"/>
        <family val="2"/>
        <charset val="136"/>
      </rPr>
      <t>請勿任意調整或刪除</t>
    </r>
    <r>
      <rPr>
        <sz val="11"/>
        <color theme="1"/>
        <rFont val="微軟正黑體"/>
        <family val="2"/>
        <charset val="136"/>
      </rPr>
      <t>。</t>
    </r>
    <phoneticPr fontId="1" type="noConversion"/>
  </si>
  <si>
    <t>填表人：</t>
    <phoneticPr fontId="20" type="noConversion"/>
  </si>
  <si>
    <t>分機：</t>
    <phoneticPr fontId="20" type="noConversion"/>
  </si>
  <si>
    <t>單位主管：</t>
    <phoneticPr fontId="20" type="noConversion"/>
  </si>
  <si>
    <t>一級單位主管：</t>
    <phoneticPr fontId="20" type="noConversion"/>
  </si>
  <si>
    <t>填表說明：本表黃底標式欄位均已帶入公式，為方便資料列印系所可自行隱藏欄位，但請勿任意刪除。</t>
    <phoneticPr fontId="20" type="noConversion"/>
  </si>
  <si>
    <t>一、基本資料：調整方式</t>
    <phoneticPr fontId="1" type="noConversion"/>
  </si>
  <si>
    <t>系所名稱</t>
    <phoneticPr fontId="1" type="noConversion"/>
  </si>
  <si>
    <t>調整班制</t>
    <phoneticPr fontId="1" type="noConversion"/>
  </si>
  <si>
    <t>審查會議</t>
    <phoneticPr fontId="1" type="noConversion"/>
  </si>
  <si>
    <t>調整方式</t>
    <phoneticPr fontId="1" type="noConversion"/>
  </si>
  <si>
    <t>最近一次評鑑結果</t>
    <phoneticPr fontId="20" type="noConversion"/>
  </si>
  <si>
    <t>師資結構</t>
    <phoneticPr fontId="20" type="noConversion"/>
  </si>
  <si>
    <t>預計調整名額</t>
    <phoneticPr fontId="1" type="noConversion"/>
  </si>
  <si>
    <t>103核定</t>
    <phoneticPr fontId="1" type="noConversion"/>
  </si>
  <si>
    <t>104核定</t>
    <phoneticPr fontId="1" type="noConversion"/>
  </si>
  <si>
    <t>102生師比</t>
    <phoneticPr fontId="1" type="noConversion"/>
  </si>
  <si>
    <t>調整後生師比預估值</t>
    <phoneticPr fontId="1" type="noConversion"/>
  </si>
  <si>
    <t>○○學系</t>
    <phoneticPr fontId="1" type="noConversion"/>
  </si>
  <si>
    <t>日間學士班
進修學士班
二年制在職專班
碩士班
碩士在職專班
博士班</t>
    <phoneticPr fontId="1" type="noConversion"/>
  </si>
  <si>
    <t>○年○月○日系務/院務/○○會議通過</t>
    <phoneticPr fontId="1" type="noConversion"/>
  </si>
  <si>
    <t>增減班
學籍分組
分組整併
系所整併
新設
分組獨立新系
停招
裁撤</t>
    <phoneticPr fontId="1" type="noConversion"/>
  </si>
  <si>
    <t>學系新設碩士班應有9名；新設博士班應有11名，且副教授應達4名以上，助理教授應達三分之二以上。
獨立所新設碩博士班應有5名-7名助理教授，且副教授應達3名以上。</t>
    <phoneticPr fontId="20" type="noConversion"/>
  </si>
  <si>
    <t>○○學系</t>
  </si>
  <si>
    <t>碩士班</t>
    <phoneticPr fontId="1" type="noConversion"/>
  </si>
  <si>
    <t>○年○月○日院務會議通過</t>
    <phoneticPr fontId="1" type="noConversion"/>
  </si>
  <si>
    <t>新設</t>
    <phoneticPr fontId="1" type="noConversion"/>
  </si>
  <si>
    <t>符合新設碩士班師資標準：專任9名-副教授以上4名，助理教授以上6名</t>
    <phoneticPr fontId="20" type="noConversion"/>
  </si>
  <si>
    <t>各項師資質量考標準</t>
    <phoneticPr fontId="1" type="noConversion"/>
  </si>
  <si>
    <t>(1)系所類別(必填)</t>
    <phoneticPr fontId="20" type="noConversion"/>
  </si>
  <si>
    <t>辦理系所類別</t>
    <phoneticPr fontId="1" type="noConversion"/>
  </si>
  <si>
    <t>是否為藝術展演類系所</t>
    <phoneticPr fontId="1" type="noConversion"/>
  </si>
  <si>
    <t>是否有博士班</t>
    <phoneticPr fontId="1" type="noConversion"/>
  </si>
  <si>
    <t>是否有碩士班</t>
    <phoneticPr fontId="1" type="noConversion"/>
  </si>
  <si>
    <t>碩士+碩專
每年招生達15名以上</t>
    <phoneticPr fontId="1" type="noConversion"/>
  </si>
  <si>
    <t>代號</t>
    <phoneticPr fontId="1" type="noConversion"/>
  </si>
  <si>
    <t>學系
獨立所
學位學程</t>
    <phoneticPr fontId="1" type="noConversion"/>
  </si>
  <si>
    <t>是
否</t>
    <phoneticPr fontId="1" type="noConversion"/>
  </si>
  <si>
    <t>黃底已套公式
表格自動選填</t>
    <phoneticPr fontId="1" type="noConversion"/>
  </si>
  <si>
    <t>學系</t>
    <phoneticPr fontId="1" type="noConversion"/>
  </si>
  <si>
    <t>是</t>
    <phoneticPr fontId="1" type="noConversion"/>
  </si>
  <si>
    <t>否</t>
    <phoneticPr fontId="1" type="noConversion"/>
  </si>
  <si>
    <t>是</t>
    <phoneticPr fontId="1" type="noConversion"/>
  </si>
  <si>
    <t>(2)-A  一般系所學生數</t>
    <phoneticPr fontId="20" type="noConversion"/>
  </si>
  <si>
    <t>※以每年10月15日為基準，已完成註冊程序之在學生人數(不含休學生、外籍生、港澳生、僑生及陸生)。</t>
    <phoneticPr fontId="20" type="noConversion"/>
  </si>
  <si>
    <t>系所類型列表(參考用-不可刪除)</t>
    <phoneticPr fontId="20" type="noConversion"/>
  </si>
  <si>
    <t>班制</t>
    <phoneticPr fontId="1" type="noConversion"/>
  </si>
  <si>
    <t>現有學生數</t>
    <phoneticPr fontId="1" type="noConversion"/>
  </si>
  <si>
    <t>加權學生數</t>
    <phoneticPr fontId="1" type="noConversion"/>
  </si>
  <si>
    <t>增減學生數</t>
    <phoneticPr fontId="1" type="noConversion"/>
  </si>
  <si>
    <t>增減後加權學生數</t>
    <phoneticPr fontId="1" type="noConversion"/>
  </si>
  <si>
    <t>系所類型</t>
    <phoneticPr fontId="20" type="noConversion"/>
  </si>
  <si>
    <t>班制</t>
    <phoneticPr fontId="20" type="noConversion"/>
  </si>
  <si>
    <t>非藝術類</t>
    <phoneticPr fontId="20" type="noConversion"/>
  </si>
  <si>
    <t>專任師資數</t>
    <phoneticPr fontId="20" type="noConversion"/>
  </si>
  <si>
    <t>日間學士班(1-4年級)</t>
    <phoneticPr fontId="1" type="noConversion"/>
  </si>
  <si>
    <t>學系</t>
    <phoneticPr fontId="20" type="noConversion"/>
  </si>
  <si>
    <t>學士</t>
    <phoneticPr fontId="20" type="noConversion"/>
  </si>
  <si>
    <t>A10</t>
    <phoneticPr fontId="20" type="noConversion"/>
  </si>
  <si>
    <t>日學延畢</t>
    <phoneticPr fontId="1" type="noConversion"/>
  </si>
  <si>
    <t>學+碩</t>
    <phoneticPr fontId="20" type="noConversion"/>
  </si>
  <si>
    <t>A20</t>
    <phoneticPr fontId="20" type="noConversion"/>
  </si>
  <si>
    <t>進修學士班(1-4年級)</t>
    <phoneticPr fontId="1" type="noConversion"/>
  </si>
  <si>
    <t>學+碩+博</t>
    <phoneticPr fontId="20" type="noConversion"/>
  </si>
  <si>
    <t>A30</t>
    <phoneticPr fontId="20" type="noConversion"/>
  </si>
  <si>
    <t>進學延畢</t>
    <phoneticPr fontId="1" type="noConversion"/>
  </si>
  <si>
    <t>獨立所</t>
    <phoneticPr fontId="20" type="noConversion"/>
  </si>
  <si>
    <t>碩士-招生15人以下</t>
    <phoneticPr fontId="20" type="noConversion"/>
  </si>
  <si>
    <t>B20</t>
    <phoneticPr fontId="20" type="noConversion"/>
  </si>
  <si>
    <t>二年制在專班(3-4年級)</t>
    <phoneticPr fontId="1" type="noConversion"/>
  </si>
  <si>
    <t>獨立所</t>
    <phoneticPr fontId="20" type="noConversion"/>
  </si>
  <si>
    <t>碩士-招生16(含)以上</t>
    <phoneticPr fontId="20" type="noConversion"/>
  </si>
  <si>
    <t>C20</t>
    <phoneticPr fontId="20" type="noConversion"/>
  </si>
  <si>
    <t>二年制延畢</t>
    <phoneticPr fontId="1" type="noConversion"/>
  </si>
  <si>
    <t>(碩)+博</t>
    <phoneticPr fontId="20" type="noConversion"/>
  </si>
  <si>
    <t>D30</t>
    <phoneticPr fontId="20" type="noConversion"/>
  </si>
  <si>
    <t>碩士班(1-2年級)</t>
    <phoneticPr fontId="1" type="noConversion"/>
  </si>
  <si>
    <t>學程</t>
    <phoneticPr fontId="20" type="noConversion"/>
  </si>
  <si>
    <t>學位學程</t>
    <phoneticPr fontId="20" type="noConversion"/>
  </si>
  <si>
    <t>E10</t>
    <phoneticPr fontId="20" type="noConversion"/>
  </si>
  <si>
    <t>碩士延畢</t>
    <phoneticPr fontId="1" type="noConversion"/>
  </si>
  <si>
    <t>班制</t>
    <phoneticPr fontId="20" type="noConversion"/>
  </si>
  <si>
    <t>藝術類</t>
    <phoneticPr fontId="20" type="noConversion"/>
  </si>
  <si>
    <t>碩專班(1-2年級)</t>
    <phoneticPr fontId="1" type="noConversion"/>
  </si>
  <si>
    <t>學士</t>
    <phoneticPr fontId="20" type="noConversion"/>
  </si>
  <si>
    <t>A11</t>
    <phoneticPr fontId="20" type="noConversion"/>
  </si>
  <si>
    <t>碩專延畢</t>
    <phoneticPr fontId="1" type="noConversion"/>
  </si>
  <si>
    <t>A21</t>
    <phoneticPr fontId="20" type="noConversion"/>
  </si>
  <si>
    <t>博士班(1-3年級)</t>
    <phoneticPr fontId="1" type="noConversion"/>
  </si>
  <si>
    <t>A31</t>
    <phoneticPr fontId="20" type="noConversion"/>
  </si>
  <si>
    <t>博士延畢</t>
    <phoneticPr fontId="1" type="noConversion"/>
  </si>
  <si>
    <t>碩士-招生15人以下</t>
    <phoneticPr fontId="20" type="noConversion"/>
  </si>
  <si>
    <t>B21</t>
    <phoneticPr fontId="20" type="noConversion"/>
  </si>
  <si>
    <t>總計(生師比用)</t>
    <phoneticPr fontId="1" type="noConversion"/>
  </si>
  <si>
    <t>C21</t>
    <phoneticPr fontId="20" type="noConversion"/>
  </si>
  <si>
    <t>研究生總計(研究生生師比)</t>
    <phoneticPr fontId="1" type="noConversion"/>
  </si>
  <si>
    <t>D31</t>
    <phoneticPr fontId="20" type="noConversion"/>
  </si>
  <si>
    <t>E11</t>
    <phoneticPr fontId="20" type="noConversion"/>
  </si>
  <si>
    <t>(2)-B  學位學程學生數</t>
    <phoneticPr fontId="20" type="noConversion"/>
  </si>
  <si>
    <t>學程增減學生數</t>
    <phoneticPr fontId="1" type="noConversion"/>
  </si>
  <si>
    <t>支援系所A</t>
    <phoneticPr fontId="20" type="noConversion"/>
  </si>
  <si>
    <t>支援系所B</t>
    <phoneticPr fontId="20" type="noConversion"/>
  </si>
  <si>
    <t>支援系所C</t>
    <phoneticPr fontId="20" type="noConversion"/>
  </si>
  <si>
    <t>支援系所D</t>
    <phoneticPr fontId="20" type="noConversion"/>
  </si>
  <si>
    <t>支援系所E</t>
    <phoneticPr fontId="20" type="noConversion"/>
  </si>
  <si>
    <t>支援系所F</t>
    <phoneticPr fontId="20" type="noConversion"/>
  </si>
  <si>
    <t>支援系所G</t>
    <phoneticPr fontId="20" type="noConversion"/>
  </si>
  <si>
    <t>支援系所H</t>
    <phoneticPr fontId="20" type="noConversion"/>
  </si>
  <si>
    <t>支援系所I</t>
    <phoneticPr fontId="20" type="noConversion"/>
  </si>
  <si>
    <t>支援系所J</t>
    <phoneticPr fontId="20" type="noConversion"/>
  </si>
  <si>
    <t>支援系所K</t>
    <phoneticPr fontId="20" type="noConversion"/>
  </si>
  <si>
    <t>支援系所L</t>
    <phoneticPr fontId="20" type="noConversion"/>
  </si>
  <si>
    <t>博士延畢</t>
    <phoneticPr fontId="1" type="noConversion"/>
  </si>
  <si>
    <t>總計(學程生師比用)</t>
    <phoneticPr fontId="1" type="noConversion"/>
  </si>
  <si>
    <t>(3)-A  一般系所教師數</t>
    <phoneticPr fontId="20" type="noConversion"/>
  </si>
  <si>
    <t>※以當學年度系所主聘之教師為主，除帶職帶薪之休假研究師資外，借調/休假/他系主聘師資不得列計專任師資。</t>
    <phoneticPr fontId="20" type="noConversion"/>
  </si>
  <si>
    <t>一般系所</t>
    <phoneticPr fontId="20" type="noConversion"/>
  </si>
  <si>
    <t>教授</t>
    <phoneticPr fontId="20" type="noConversion"/>
  </si>
  <si>
    <t>副教授</t>
    <phoneticPr fontId="20" type="noConversion"/>
  </si>
  <si>
    <t>講師</t>
    <phoneticPr fontId="20" type="noConversion"/>
  </si>
  <si>
    <t>小計</t>
    <phoneticPr fontId="20" type="noConversion"/>
  </si>
  <si>
    <t>專任</t>
    <phoneticPr fontId="20" type="noConversion"/>
  </si>
  <si>
    <t>兼任</t>
    <phoneticPr fontId="20" type="noConversion"/>
  </si>
  <si>
    <t>預計增減專任</t>
    <phoneticPr fontId="20" type="noConversion"/>
  </si>
  <si>
    <t>預計增減兼任</t>
    <phoneticPr fontId="20" type="noConversion"/>
  </si>
  <si>
    <t>(3)-B  學位學程專任支援開課教師數(計算講師比之重要參考數據)</t>
    <phoneticPr fontId="20" type="noConversion"/>
  </si>
  <si>
    <r>
      <t>※以當學年度</t>
    </r>
    <r>
      <rPr>
        <b/>
        <sz val="14"/>
        <color rgb="FFFF0000"/>
        <rFont val="微軟正黑體"/>
        <family val="2"/>
        <charset val="136"/>
      </rPr>
      <t>支援系所主聘且至本學程實質開課之專任師資</t>
    </r>
    <r>
      <rPr>
        <b/>
        <sz val="14"/>
        <color rgb="FF0000FF"/>
        <rFont val="微軟正黑體"/>
        <family val="2"/>
        <charset val="136"/>
      </rPr>
      <t>為主。</t>
    </r>
    <phoneticPr fontId="20" type="noConversion"/>
  </si>
  <si>
    <t>助理教授</t>
    <phoneticPr fontId="20" type="noConversion"/>
  </si>
  <si>
    <t>小計</t>
    <phoneticPr fontId="20" type="noConversion"/>
  </si>
  <si>
    <t>學程專任支援師資(現況)</t>
    <phoneticPr fontId="20" type="noConversion"/>
  </si>
  <si>
    <r>
      <t>預計增減支援師資數</t>
    </r>
    <r>
      <rPr>
        <b/>
        <sz val="12"/>
        <color rgb="FF0000FF"/>
        <rFont val="微軟正黑體"/>
        <family val="2"/>
        <charset val="136"/>
      </rPr>
      <t>(請自填)</t>
    </r>
    <phoneticPr fontId="20" type="noConversion"/>
  </si>
  <si>
    <t>學位學程主聘師資</t>
    <phoneticPr fontId="20" type="noConversion"/>
  </si>
  <si>
    <t>支援系所F</t>
    <phoneticPr fontId="20" type="noConversion"/>
  </si>
  <si>
    <t>(3)-C  學位學程專任支援系所現有專任教師數(計算生師比之重要參考數據)</t>
    <phoneticPr fontId="20" type="noConversion"/>
  </si>
  <si>
    <r>
      <t>※以當學年度</t>
    </r>
    <r>
      <rPr>
        <b/>
        <sz val="14"/>
        <color rgb="FFFF0000"/>
        <rFont val="微軟正黑體"/>
        <family val="2"/>
        <charset val="136"/>
      </rPr>
      <t>支援系所所有專任師資</t>
    </r>
    <r>
      <rPr>
        <b/>
        <sz val="14"/>
        <color rgb="FF0000FF"/>
        <rFont val="微軟正黑體"/>
        <family val="2"/>
        <charset val="136"/>
      </rPr>
      <t>列表。</t>
    </r>
    <phoneticPr fontId="20" type="noConversion"/>
  </si>
  <si>
    <t>副教授</t>
    <phoneticPr fontId="20" type="noConversion"/>
  </si>
  <si>
    <t>系所生師比</t>
    <phoneticPr fontId="20" type="noConversion"/>
  </si>
  <si>
    <r>
      <t>各系預計增減專任資數</t>
    </r>
    <r>
      <rPr>
        <b/>
        <sz val="12"/>
        <color rgb="FF0000FF"/>
        <rFont val="微軟正黑體"/>
        <family val="2"/>
        <charset val="136"/>
      </rPr>
      <t>(請自填)</t>
    </r>
    <phoneticPr fontId="20" type="noConversion"/>
  </si>
  <si>
    <t>學位學程專任師資</t>
    <phoneticPr fontId="20" type="noConversion"/>
  </si>
  <si>
    <t>支援系所B</t>
    <phoneticPr fontId="20" type="noConversion"/>
  </si>
  <si>
    <t>支援系所L</t>
    <phoneticPr fontId="20" type="noConversion"/>
  </si>
  <si>
    <t>(4)師資質量考核</t>
    <phoneticPr fontId="20" type="noConversion"/>
  </si>
  <si>
    <t>※已當學年度系所主聘之教師為主，除帶職帶薪之休假研究師資外，借調/休假/他系主聘師資不得列計專任師資。</t>
    <phoneticPr fontId="20" type="noConversion"/>
  </si>
  <si>
    <t>一般系所</t>
    <phoneticPr fontId="20" type="noConversion"/>
  </si>
  <si>
    <t>生師比</t>
    <phoneticPr fontId="20" type="noConversion"/>
  </si>
  <si>
    <t>研究生生師比</t>
    <phoneticPr fontId="20" type="noConversion"/>
  </si>
  <si>
    <t>講師比</t>
    <phoneticPr fontId="20" type="noConversion"/>
  </si>
  <si>
    <t>專任師資數</t>
    <phoneticPr fontId="20" type="noConversion"/>
  </si>
  <si>
    <t>專任支援師資數</t>
    <phoneticPr fontId="20" type="noConversion"/>
  </si>
  <si>
    <t>當學年度現況</t>
    <phoneticPr fontId="20" type="noConversion"/>
  </si>
  <si>
    <t>預計增減師資後現況</t>
    <phoneticPr fontId="20" type="noConversion"/>
  </si>
  <si>
    <t>當學年度檢核</t>
    <phoneticPr fontId="20" type="noConversion"/>
  </si>
  <si>
    <t>生師比</t>
    <phoneticPr fontId="20" type="noConversion"/>
  </si>
  <si>
    <t>當學年度現況</t>
    <phoneticPr fontId="20" type="noConversion"/>
  </si>
  <si>
    <t>預計增減師資後現況</t>
    <phoneticPr fontId="20" type="noConversion"/>
  </si>
  <si>
    <t>黃色欄位可全數刪除</t>
    <phoneticPr fontId="1" type="noConversion"/>
  </si>
  <si>
    <t>黃色欄位可刪除</t>
    <phoneticPr fontId="1" type="noConversion"/>
  </si>
  <si>
    <r>
      <t>請以</t>
    </r>
    <r>
      <rPr>
        <b/>
        <sz val="11"/>
        <color rgb="FFFF0000"/>
        <rFont val="微軟正黑體"/>
        <family val="2"/>
        <charset val="136"/>
      </rPr>
      <t>「學院」</t>
    </r>
    <r>
      <rPr>
        <sz val="11"/>
        <color theme="1"/>
        <rFont val="微軟正黑體"/>
        <family val="2"/>
        <charset val="136"/>
      </rPr>
      <t>為單位，統一彙整各所屬系所108學年度增額說明表，</t>
    </r>
    <r>
      <rPr>
        <b/>
        <sz val="11"/>
        <color rgb="FFFF0000"/>
        <rFont val="微軟正黑體"/>
        <family val="2"/>
        <charset val="136"/>
      </rPr>
      <t>進修學士班</t>
    </r>
    <r>
      <rPr>
        <sz val="11"/>
        <color theme="1"/>
        <rFont val="微軟正黑體"/>
        <family val="2"/>
        <charset val="136"/>
      </rPr>
      <t>亦須併入各院調查表內提報。</t>
    </r>
    <phoneticPr fontId="1" type="noConversion"/>
  </si>
  <si>
    <r>
      <t>請以</t>
    </r>
    <r>
      <rPr>
        <b/>
        <sz val="11"/>
        <color rgb="FFFF0000"/>
        <rFont val="微軟正黑體"/>
        <family val="2"/>
        <charset val="136"/>
      </rPr>
      <t>「學院」</t>
    </r>
    <r>
      <rPr>
        <sz val="11"/>
        <color theme="1"/>
        <rFont val="微軟正黑體"/>
        <family val="2"/>
        <charset val="136"/>
      </rPr>
      <t>為單位，統一彙整各所屬系所</t>
    </r>
    <r>
      <rPr>
        <b/>
        <sz val="11"/>
        <color rgb="FFFF0000"/>
        <rFont val="微軟正黑體"/>
        <family val="2"/>
        <charset val="136"/>
      </rPr>
      <t>107學年度</t>
    </r>
    <r>
      <rPr>
        <sz val="11"/>
        <color theme="1"/>
        <rFont val="微軟正黑體"/>
        <family val="2"/>
        <charset val="136"/>
      </rPr>
      <t>未涉及增減班之</t>
    </r>
    <r>
      <rPr>
        <b/>
        <sz val="11"/>
        <color rgb="FFFF0000"/>
        <rFont val="微軟正黑體"/>
        <family val="2"/>
        <charset val="136"/>
      </rPr>
      <t>小規模招生名額調整</t>
    </r>
    <r>
      <rPr>
        <sz val="11"/>
        <color theme="1"/>
        <rFont val="微軟正黑體"/>
        <family val="2"/>
        <charset val="136"/>
      </rPr>
      <t>一覽，</t>
    </r>
    <r>
      <rPr>
        <b/>
        <sz val="11"/>
        <color rgb="FFFF0000"/>
        <rFont val="微軟正黑體"/>
        <family val="2"/>
        <charset val="136"/>
      </rPr>
      <t>進修學士班</t>
    </r>
    <r>
      <rPr>
        <sz val="11"/>
        <color theme="1"/>
        <rFont val="微軟正黑體"/>
        <family val="2"/>
        <charset val="136"/>
      </rPr>
      <t>亦須併入各院調查表內提報。
另申請</t>
    </r>
    <r>
      <rPr>
        <b/>
        <sz val="11"/>
        <color rgb="FF0000FF"/>
        <rFont val="微軟正黑體"/>
        <family val="2"/>
        <charset val="136"/>
      </rPr>
      <t>增額系所</t>
    </r>
    <r>
      <rPr>
        <sz val="11"/>
        <color theme="1"/>
        <rFont val="微軟正黑體"/>
        <family val="2"/>
        <charset val="136"/>
      </rPr>
      <t>須採「1系1表」方式</t>
    </r>
    <r>
      <rPr>
        <b/>
        <sz val="11"/>
        <color rgb="FFFF0000"/>
        <rFont val="微軟正黑體"/>
        <family val="2"/>
        <charset val="136"/>
      </rPr>
      <t>加填【5-競爭校系】</t>
    </r>
    <r>
      <rPr>
        <sz val="11"/>
        <color theme="1"/>
        <rFont val="微軟正黑體"/>
        <family val="2"/>
        <charset val="136"/>
      </rPr>
      <t>。</t>
    </r>
    <phoneticPr fontId="1" type="noConversion"/>
  </si>
  <si>
    <r>
      <t>※以每年10月15日為基準，已完成註冊程序之在學生人數(不含休學生、</t>
    </r>
    <r>
      <rPr>
        <b/>
        <sz val="14"/>
        <color rgb="FFFF0000"/>
        <rFont val="微軟正黑體"/>
        <family val="2"/>
        <charset val="136"/>
      </rPr>
      <t>自109學年起境外生請比照一般生列生師比處理</t>
    </r>
    <r>
      <rPr>
        <b/>
        <sz val="14"/>
        <color rgb="FF0000FF"/>
        <rFont val="微軟正黑體"/>
        <family val="2"/>
        <charset val="136"/>
      </rPr>
      <t>)。</t>
    </r>
    <phoneticPr fontId="20" type="noConversion"/>
  </si>
  <si>
    <t>學年度各學院所屬系所申請增減額調查表</t>
    <phoneticPr fontId="1" type="noConversion"/>
  </si>
  <si>
    <t>學年度各學院申請增額單位說明表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</si>
</sst>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00FF"/>
      <name val="微軟正黑體"/>
      <family val="2"/>
      <charset val="136"/>
    </font>
    <font>
      <sz val="11"/>
      <color theme="1"/>
      <name val="微軟正黑體"/>
      <family val="2"/>
      <charset val="136"/>
    </font>
    <font>
      <sz val="12"/>
      <color theme="1"/>
      <name val="新細明體"/>
      <family val="2"/>
      <charset val="136"/>
      <scheme val="minor"/>
    </font>
    <font>
      <sz val="10"/>
      <color theme="1"/>
      <name val="微軟正黑體"/>
      <family val="2"/>
      <charset val="136"/>
    </font>
    <font>
      <sz val="10"/>
      <color rgb="FFC00000"/>
      <name val="微軟正黑體"/>
      <family val="2"/>
      <charset val="136"/>
    </font>
    <font>
      <b/>
      <sz val="11"/>
      <color rgb="FFFF0000"/>
      <name val="微軟正黑體"/>
      <family val="2"/>
      <charset val="136"/>
    </font>
    <font>
      <sz val="11"/>
      <name val="微軟正黑體"/>
      <family val="2"/>
      <charset val="136"/>
    </font>
    <font>
      <b/>
      <sz val="11"/>
      <color rgb="FF0000FF"/>
      <name val="微軟正黑體"/>
      <family val="2"/>
      <charset val="136"/>
    </font>
    <font>
      <sz val="11"/>
      <color rgb="FF0000FF"/>
      <name val="微軟正黑體"/>
      <family val="2"/>
      <charset val="136"/>
    </font>
    <font>
      <b/>
      <sz val="10"/>
      <color rgb="FF0000FF"/>
      <name val="微軟正黑體"/>
      <family val="2"/>
      <charset val="136"/>
    </font>
    <font>
      <b/>
      <sz val="18"/>
      <color rgb="FF0000FF"/>
      <name val="微軟正黑體"/>
      <family val="2"/>
      <charset val="136"/>
    </font>
    <font>
      <b/>
      <sz val="18"/>
      <color rgb="FFFF0000"/>
      <name val="微軟正黑體"/>
      <family val="2"/>
      <charset val="136"/>
    </font>
    <font>
      <b/>
      <sz val="18"/>
      <color theme="9" tint="-0.499984740745262"/>
      <name val="微軟正黑體"/>
      <family val="2"/>
      <charset val="136"/>
    </font>
    <font>
      <b/>
      <sz val="18"/>
      <color theme="8" tint="-0.249977111117893"/>
      <name val="微軟正黑體"/>
      <family val="2"/>
      <charset val="136"/>
    </font>
    <font>
      <b/>
      <sz val="11"/>
      <color rgb="FF7030A0"/>
      <name val="微軟正黑體"/>
      <family val="2"/>
      <charset val="136"/>
    </font>
    <font>
      <sz val="11"/>
      <color theme="9" tint="-0.499984740745262"/>
      <name val="微軟正黑體"/>
      <family val="2"/>
      <charset val="136"/>
    </font>
    <font>
      <b/>
      <sz val="11"/>
      <color theme="9" tint="-0.499984740745262"/>
      <name val="微軟正黑體"/>
      <family val="2"/>
      <charset val="136"/>
    </font>
    <font>
      <sz val="9"/>
      <name val="新細明體"/>
      <family val="1"/>
      <charset val="136"/>
    </font>
    <font>
      <b/>
      <sz val="15"/>
      <color rgb="FFC00000"/>
      <name val="微軟正黑體"/>
      <family val="2"/>
      <charset val="136"/>
    </font>
    <font>
      <sz val="11"/>
      <color rgb="FFC00000"/>
      <name val="微軟正黑體"/>
      <family val="2"/>
      <charset val="136"/>
    </font>
    <font>
      <b/>
      <sz val="14"/>
      <color rgb="FF0000FF"/>
      <name val="微軟正黑體"/>
      <family val="2"/>
      <charset val="136"/>
    </font>
    <font>
      <b/>
      <sz val="14"/>
      <color rgb="FFC00000"/>
      <name val="微軟正黑體"/>
      <family val="2"/>
      <charset val="136"/>
    </font>
    <font>
      <sz val="12"/>
      <color indexed="12"/>
      <name val="微軟正黑體"/>
      <family val="2"/>
      <charset val="136"/>
    </font>
    <font>
      <sz val="12"/>
      <color theme="0" tint="-0.499984740745262"/>
      <name val="微軟正黑體"/>
      <family val="2"/>
      <charset val="136"/>
    </font>
    <font>
      <sz val="12"/>
      <color theme="0" tint="-0.499984740745262"/>
      <name val="新細明體"/>
      <family val="2"/>
      <charset val="136"/>
      <scheme val="minor"/>
    </font>
    <font>
      <sz val="12"/>
      <color rgb="FFC00000"/>
      <name val="微軟正黑體"/>
      <family val="2"/>
      <charset val="136"/>
    </font>
    <font>
      <b/>
      <sz val="12"/>
      <color rgb="FFC00000"/>
      <name val="微軟正黑體"/>
      <family val="2"/>
      <charset val="136"/>
    </font>
    <font>
      <sz val="10"/>
      <color theme="0" tint="-0.499984740745262"/>
      <name val="微軟正黑體"/>
      <family val="2"/>
      <charset val="136"/>
    </font>
    <font>
      <sz val="9"/>
      <color theme="0" tint="-0.499984740745262"/>
      <name val="微軟正黑體"/>
      <family val="2"/>
      <charset val="136"/>
    </font>
    <font>
      <b/>
      <sz val="12"/>
      <color rgb="FF0000FF"/>
      <name val="微軟正黑體"/>
      <family val="2"/>
      <charset val="136"/>
    </font>
    <font>
      <sz val="10"/>
      <color indexed="12"/>
      <name val="微軟正黑體"/>
      <family val="2"/>
      <charset val="136"/>
    </font>
    <font>
      <sz val="11"/>
      <color rgb="FF0070C0"/>
      <name val="微軟正黑體"/>
      <family val="2"/>
      <charset val="136"/>
    </font>
    <font>
      <sz val="11"/>
      <color indexed="12"/>
      <name val="微軟正黑體"/>
      <family val="2"/>
      <charset val="136"/>
    </font>
    <font>
      <sz val="11"/>
      <color theme="1"/>
      <name val="新細明體"/>
      <family val="2"/>
      <charset val="136"/>
      <scheme val="minor"/>
    </font>
    <font>
      <sz val="12"/>
      <color rgb="FF0070C0"/>
      <name val="微軟正黑體"/>
      <family val="2"/>
      <charset val="136"/>
    </font>
    <font>
      <sz val="10"/>
      <color rgb="FF0070C0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b/>
      <sz val="12"/>
      <color rgb="FF0070C0"/>
      <name val="微軟正黑體"/>
      <family val="2"/>
      <charset val="136"/>
    </font>
    <font>
      <sz val="13"/>
      <color theme="1"/>
      <name val="微軟正黑體"/>
      <family val="2"/>
      <charset val="136"/>
    </font>
    <font>
      <b/>
      <sz val="13"/>
      <color rgb="FFFF0000"/>
      <name val="微軟正黑體"/>
      <family val="2"/>
      <charset val="136"/>
    </font>
    <font>
      <b/>
      <sz val="13"/>
      <color rgb="FF0000FF"/>
      <name val="微軟正黑體"/>
      <family val="2"/>
      <charset val="136"/>
    </font>
    <font>
      <b/>
      <u/>
      <sz val="13"/>
      <color rgb="FFFF0000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b/>
      <sz val="14"/>
      <color theme="9" tint="-0.249977111117893"/>
      <name val="微軟正黑體"/>
      <family val="2"/>
      <charset val="136"/>
    </font>
    <font>
      <sz val="12"/>
      <color theme="9" tint="-0.249977111117893"/>
      <name val="新細明體"/>
      <family val="2"/>
      <charset val="136"/>
      <scheme val="minor"/>
    </font>
    <font>
      <sz val="12"/>
      <color theme="9" tint="-0.249977111117893"/>
      <name val="微軟正黑體"/>
      <family val="2"/>
      <charset val="136"/>
    </font>
    <font>
      <b/>
      <sz val="10.5"/>
      <color rgb="FF0000FF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sz val="10"/>
      <color rgb="FF0000FF"/>
      <name val="微軟正黑體"/>
      <family val="2"/>
      <charset val="136"/>
    </font>
  </fonts>
  <fills count="1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CC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ck">
        <color rgb="FF0000FF"/>
      </left>
      <right style="thin">
        <color auto="1"/>
      </right>
      <top style="thick">
        <color rgb="FF0000FF"/>
      </top>
      <bottom style="thick">
        <color rgb="FF0000FF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ck">
        <color rgb="FF0000FF"/>
      </bottom>
      <diagonal/>
    </border>
    <border>
      <left style="thin">
        <color auto="1"/>
      </left>
      <right/>
      <top style="thick">
        <color rgb="FF0000FF"/>
      </top>
      <bottom style="thick">
        <color rgb="FF0000F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dashed">
        <color auto="1"/>
      </diagonal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dashed">
        <color auto="1"/>
      </diagonal>
    </border>
    <border>
      <left/>
      <right/>
      <top style="thin">
        <color auto="1"/>
      </top>
      <bottom/>
      <diagonal/>
    </border>
    <border diagonalDown="1">
      <left style="thick">
        <color rgb="FFFF0000"/>
      </left>
      <right/>
      <top style="thick">
        <color rgb="FFFF0000"/>
      </top>
      <bottom style="thin">
        <color auto="1"/>
      </bottom>
      <diagonal style="dashed">
        <color auto="1"/>
      </diagonal>
    </border>
    <border diagonalDown="1"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 style="dashed">
        <color auto="1"/>
      </diagonal>
    </border>
    <border>
      <left style="thick">
        <color rgb="FF0000FF"/>
      </left>
      <right style="thin">
        <color theme="1"/>
      </right>
      <top style="thick">
        <color rgb="FF0000FF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ck">
        <color rgb="FF0000FF"/>
      </top>
      <bottom style="thin">
        <color auto="1"/>
      </bottom>
      <diagonal/>
    </border>
    <border>
      <left style="thin">
        <color theme="1"/>
      </left>
      <right style="thick">
        <color rgb="FF0000FF"/>
      </right>
      <top style="thick">
        <color rgb="FF0000FF"/>
      </top>
      <bottom style="thin">
        <color auto="1"/>
      </bottom>
      <diagonal/>
    </border>
    <border>
      <left style="thick">
        <color rgb="FF00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0000FF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ck">
        <color rgb="FF0000FF"/>
      </right>
      <top style="thin">
        <color auto="1"/>
      </top>
      <bottom style="thin">
        <color auto="1"/>
      </bottom>
      <diagonal style="dashed">
        <color auto="1"/>
      </diagonal>
    </border>
    <border>
      <left/>
      <right style="thin">
        <color auto="1"/>
      </right>
      <top style="thin">
        <color auto="1"/>
      </top>
      <bottom style="thick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0000FF"/>
      </bottom>
      <diagonal/>
    </border>
    <border>
      <left style="thin">
        <color auto="1"/>
      </left>
      <right style="thick">
        <color rgb="FF0000FF"/>
      </right>
      <top style="thin">
        <color auto="1"/>
      </top>
      <bottom style="thick">
        <color rgb="FF0000FF"/>
      </bottom>
      <diagonal/>
    </border>
    <border>
      <left style="thick">
        <color rgb="FF0000FF"/>
      </left>
      <right style="thin">
        <color auto="1"/>
      </right>
      <top style="thick">
        <color rgb="FF0000F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0000FF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0000FF"/>
      </left>
      <right style="thin">
        <color auto="1"/>
      </right>
      <top style="thin">
        <color auto="1"/>
      </top>
      <bottom style="thick">
        <color rgb="FF0000FF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0000FF"/>
      </bottom>
      <diagonal/>
    </border>
    <border diagonalDown="1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 style="dashed">
        <color rgb="FFFF0000"/>
      </diagonal>
    </border>
    <border diagonalDown="1">
      <left style="thick">
        <color rgb="FFFF0000"/>
      </left>
      <right style="thick">
        <color rgb="FFFF0000"/>
      </right>
      <top/>
      <bottom style="thick">
        <color rgb="FFFF0000"/>
      </bottom>
      <diagonal style="dashed">
        <color rgb="FFFF0000"/>
      </diagonal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ck">
        <color rgb="FFFF0000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ck">
        <color rgb="FFFF0000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ck">
        <color rgb="FFFF0000"/>
      </right>
      <top style="thin">
        <color theme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n">
        <color theme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2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76" fontId="2" fillId="0" borderId="1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176" fontId="2" fillId="3" borderId="1" xfId="1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76" fontId="2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3" fillId="2" borderId="10" xfId="0" applyNumberFormat="1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0" fontId="3" fillId="2" borderId="11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176" fontId="3" fillId="2" borderId="10" xfId="1" applyNumberFormat="1" applyFont="1" applyFill="1" applyBorder="1" applyAlignment="1">
      <alignment horizontal="center" vertical="center" wrapText="1"/>
    </xf>
    <xf numFmtId="176" fontId="3" fillId="2" borderId="11" xfId="1" applyNumberFormat="1" applyFont="1" applyFill="1" applyBorder="1" applyAlignment="1">
      <alignment horizontal="center" vertical="center" wrapText="1"/>
    </xf>
    <xf numFmtId="176" fontId="2" fillId="0" borderId="10" xfId="1" applyNumberFormat="1" applyFont="1" applyFill="1" applyBorder="1" applyAlignment="1">
      <alignment horizontal="center" vertical="center" wrapText="1"/>
    </xf>
    <xf numFmtId="176" fontId="2" fillId="0" borderId="12" xfId="1" applyNumberFormat="1" applyFont="1" applyFill="1" applyBorder="1" applyAlignment="1">
      <alignment horizontal="center" vertical="center" wrapText="1"/>
    </xf>
    <xf numFmtId="176" fontId="2" fillId="0" borderId="13" xfId="1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indent="2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/>
    </xf>
    <xf numFmtId="12" fontId="25" fillId="0" borderId="0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3" fillId="0" borderId="0" xfId="0" applyFo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6" fillId="6" borderId="20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/>
    </xf>
    <xf numFmtId="0" fontId="30" fillId="0" borderId="20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8" fillId="7" borderId="1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8" fillId="7" borderId="21" xfId="0" applyFont="1" applyFill="1" applyBorder="1" applyAlignment="1">
      <alignment horizontal="center" vertical="center"/>
    </xf>
    <xf numFmtId="0" fontId="31" fillId="0" borderId="20" xfId="0" applyFont="1" applyBorder="1" applyAlignment="1">
      <alignment horizontal="center" vertical="center" wrapText="1"/>
    </xf>
    <xf numFmtId="0" fontId="28" fillId="7" borderId="4" xfId="0" applyFont="1" applyFill="1" applyBorder="1" applyAlignment="1">
      <alignment horizontal="center" vertical="center"/>
    </xf>
    <xf numFmtId="0" fontId="28" fillId="7" borderId="22" xfId="0" applyFont="1" applyFill="1" applyBorder="1" applyAlignment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0" fontId="32" fillId="8" borderId="6" xfId="0" applyFont="1" applyFill="1" applyBorder="1" applyAlignment="1">
      <alignment horizontal="center" vertical="center"/>
    </xf>
    <xf numFmtId="0" fontId="24" fillId="8" borderId="19" xfId="0" applyFont="1" applyFill="1" applyBorder="1" applyAlignment="1">
      <alignment horizontal="center" vertical="center"/>
    </xf>
    <xf numFmtId="0" fontId="32" fillId="8" borderId="23" xfId="0" applyFont="1" applyFill="1" applyBorder="1" applyAlignment="1">
      <alignment horizontal="center" vertical="center"/>
    </xf>
    <xf numFmtId="0" fontId="32" fillId="8" borderId="3" xfId="0" applyFont="1" applyFill="1" applyBorder="1" applyAlignment="1">
      <alignment horizontal="center" vertical="center"/>
    </xf>
    <xf numFmtId="0" fontId="23" fillId="8" borderId="19" xfId="0" applyFont="1" applyFill="1" applyBorder="1" applyAlignment="1">
      <alignment horizontal="center" vertical="center"/>
    </xf>
    <xf numFmtId="0" fontId="29" fillId="8" borderId="24" xfId="0" applyFont="1" applyFill="1" applyBorder="1" applyAlignment="1">
      <alignment horizontal="center" vertical="center"/>
    </xf>
    <xf numFmtId="0" fontId="29" fillId="8" borderId="25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34" fillId="9" borderId="26" xfId="0" applyFont="1" applyFill="1" applyBorder="1" applyAlignment="1">
      <alignment horizontal="center" vertical="center"/>
    </xf>
    <xf numFmtId="0" fontId="34" fillId="9" borderId="27" xfId="0" applyFont="1" applyFill="1" applyBorder="1" applyAlignment="1">
      <alignment horizontal="center" vertical="center"/>
    </xf>
    <xf numFmtId="0" fontId="34" fillId="9" borderId="28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36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2" fillId="7" borderId="31" xfId="0" applyFont="1" applyFill="1" applyBorder="1" applyAlignment="1">
      <alignment horizontal="center" vertical="center"/>
    </xf>
    <xf numFmtId="0" fontId="37" fillId="7" borderId="29" xfId="0" applyFont="1" applyFill="1" applyBorder="1" applyAlignment="1">
      <alignment horizontal="center" vertical="center"/>
    </xf>
    <xf numFmtId="0" fontId="37" fillId="7" borderId="1" xfId="0" applyFont="1" applyFill="1" applyBorder="1" applyAlignment="1">
      <alignment horizontal="center" vertical="center"/>
    </xf>
    <xf numFmtId="0" fontId="38" fillId="7" borderId="1" xfId="0" applyFont="1" applyFill="1" applyBorder="1" applyAlignment="1">
      <alignment horizontal="center" vertical="center" wrapText="1"/>
    </xf>
    <xf numFmtId="0" fontId="37" fillId="7" borderId="30" xfId="0" applyFont="1" applyFill="1" applyBorder="1" applyAlignment="1">
      <alignment horizontal="center" vertical="center" wrapText="1"/>
    </xf>
    <xf numFmtId="0" fontId="37" fillId="8" borderId="32" xfId="0" applyFont="1" applyFill="1" applyBorder="1" applyAlignment="1">
      <alignment horizontal="center" vertical="center"/>
    </xf>
    <xf numFmtId="0" fontId="37" fillId="8" borderId="33" xfId="0" applyFont="1" applyFill="1" applyBorder="1" applyAlignment="1">
      <alignment horizontal="center" vertical="center"/>
    </xf>
    <xf numFmtId="0" fontId="38" fillId="8" borderId="33" xfId="0" applyFont="1" applyFill="1" applyBorder="1" applyAlignment="1">
      <alignment horizontal="center" vertical="center" wrapText="1"/>
    </xf>
    <xf numFmtId="0" fontId="37" fillId="8" borderId="34" xfId="0" applyFont="1" applyFill="1" applyBorder="1" applyAlignment="1">
      <alignment horizontal="center" vertical="center" wrapText="1"/>
    </xf>
    <xf numFmtId="0" fontId="39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32" fillId="8" borderId="4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2" fillId="5" borderId="35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32" fillId="9" borderId="4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35" xfId="0" applyFont="1" applyFill="1" applyBorder="1" applyAlignment="1">
      <alignment horizontal="center" vertical="center"/>
    </xf>
    <xf numFmtId="0" fontId="32" fillId="8" borderId="42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/>
    </xf>
    <xf numFmtId="0" fontId="32" fillId="8" borderId="43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/>
    </xf>
    <xf numFmtId="0" fontId="37" fillId="4" borderId="45" xfId="0" applyFont="1" applyFill="1" applyBorder="1" applyAlignment="1">
      <alignment horizontal="center" vertical="center"/>
    </xf>
    <xf numFmtId="0" fontId="40" fillId="8" borderId="39" xfId="0" applyFont="1" applyFill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/>
    </xf>
    <xf numFmtId="0" fontId="37" fillId="4" borderId="47" xfId="0" applyFont="1" applyFill="1" applyBorder="1" applyAlignment="1">
      <alignment horizontal="center" vertical="center"/>
    </xf>
    <xf numFmtId="0" fontId="37" fillId="0" borderId="48" xfId="0" applyFont="1" applyBorder="1" applyAlignment="1">
      <alignment horizontal="center" vertical="center"/>
    </xf>
    <xf numFmtId="0" fontId="37" fillId="4" borderId="49" xfId="0" applyFont="1" applyFill="1" applyBorder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39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1" fillId="0" borderId="0" xfId="0" applyFont="1">
      <alignment vertical="center"/>
    </xf>
    <xf numFmtId="0" fontId="41" fillId="0" borderId="0" xfId="0" applyFont="1" applyBorder="1" applyAlignment="1">
      <alignment vertical="center"/>
    </xf>
    <xf numFmtId="0" fontId="41" fillId="0" borderId="0" xfId="0" applyFont="1" applyBorder="1">
      <alignment vertical="center"/>
    </xf>
    <xf numFmtId="0" fontId="41" fillId="12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21" fillId="0" borderId="0" xfId="0" applyFont="1" applyBorder="1">
      <alignment vertical="center"/>
    </xf>
    <xf numFmtId="0" fontId="45" fillId="0" borderId="0" xfId="0" applyFont="1" applyAlignment="1">
      <alignment horizontal="left" vertical="center" indent="2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12" fontId="2" fillId="0" borderId="0" xfId="0" applyNumberFormat="1" applyFont="1" applyFill="1" applyBorder="1" applyAlignment="1">
      <alignment horizontal="center" vertical="center" wrapText="1"/>
    </xf>
    <xf numFmtId="0" fontId="2" fillId="11" borderId="1" xfId="2" applyFont="1" applyBorder="1" applyAlignment="1">
      <alignment horizontal="center" vertical="center" wrapText="1"/>
    </xf>
    <xf numFmtId="0" fontId="2" fillId="11" borderId="3" xfId="2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11" borderId="51" xfId="2" applyFont="1" applyBorder="1" applyAlignment="1">
      <alignment horizontal="center" vertical="center" wrapText="1"/>
    </xf>
    <xf numFmtId="0" fontId="42" fillId="12" borderId="0" xfId="0" applyFont="1" applyFill="1" applyBorder="1" applyAlignment="1">
      <alignment vertical="center"/>
    </xf>
    <xf numFmtId="0" fontId="2" fillId="11" borderId="1" xfId="2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6" fillId="0" borderId="0" xfId="0" applyFont="1">
      <alignment vertical="center"/>
    </xf>
    <xf numFmtId="0" fontId="47" fillId="0" borderId="0" xfId="0" applyFont="1" applyAlignment="1">
      <alignment horizontal="left" vertical="center" indent="2"/>
    </xf>
    <xf numFmtId="0" fontId="48" fillId="0" borderId="0" xfId="0" applyFont="1" applyBorder="1" applyAlignment="1">
      <alignment vertical="center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12" fontId="4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0" fillId="8" borderId="4" xfId="0" applyFont="1" applyFill="1" applyBorder="1" applyAlignment="1">
      <alignment horizontal="center" vertical="center"/>
    </xf>
    <xf numFmtId="0" fontId="37" fillId="9" borderId="55" xfId="0" applyFont="1" applyFill="1" applyBorder="1" applyAlignment="1">
      <alignment horizontal="center" vertical="center"/>
    </xf>
    <xf numFmtId="0" fontId="37" fillId="9" borderId="44" xfId="0" applyFont="1" applyFill="1" applyBorder="1" applyAlignment="1">
      <alignment horizontal="center" vertical="center"/>
    </xf>
    <xf numFmtId="0" fontId="37" fillId="9" borderId="46" xfId="0" applyFont="1" applyFill="1" applyBorder="1" applyAlignment="1">
      <alignment horizontal="center" vertical="center"/>
    </xf>
    <xf numFmtId="0" fontId="37" fillId="9" borderId="48" xfId="0" applyFont="1" applyFill="1" applyBorder="1" applyAlignment="1">
      <alignment horizontal="center" vertical="center"/>
    </xf>
    <xf numFmtId="0" fontId="32" fillId="13" borderId="4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/>
    </xf>
    <xf numFmtId="0" fontId="37" fillId="13" borderId="55" xfId="0" applyFont="1" applyFill="1" applyBorder="1" applyAlignment="1">
      <alignment horizontal="center" vertical="center"/>
    </xf>
    <xf numFmtId="0" fontId="37" fillId="13" borderId="44" xfId="0" applyFont="1" applyFill="1" applyBorder="1" applyAlignment="1">
      <alignment horizontal="center" vertical="center"/>
    </xf>
    <xf numFmtId="0" fontId="37" fillId="13" borderId="46" xfId="0" applyFont="1" applyFill="1" applyBorder="1" applyAlignment="1">
      <alignment horizontal="center" vertical="center"/>
    </xf>
    <xf numFmtId="0" fontId="37" fillId="13" borderId="4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indent="2"/>
    </xf>
    <xf numFmtId="0" fontId="11" fillId="0" borderId="0" xfId="0" applyFont="1" applyBorder="1" applyAlignment="1">
      <alignment horizontal="left" vertical="top" wrapText="1" indent="2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1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11" borderId="1" xfId="2" applyFont="1" applyBorder="1" applyAlignment="1">
      <alignment horizontal="center" vertical="center" wrapText="1"/>
    </xf>
    <xf numFmtId="0" fontId="2" fillId="11" borderId="3" xfId="2" applyFont="1" applyBorder="1" applyAlignment="1">
      <alignment horizontal="center" vertical="center" wrapText="1"/>
    </xf>
    <xf numFmtId="0" fontId="2" fillId="11" borderId="51" xfId="2" applyFont="1" applyBorder="1" applyAlignment="1">
      <alignment horizontal="center" vertical="center" wrapText="1"/>
    </xf>
    <xf numFmtId="0" fontId="2" fillId="11" borderId="52" xfId="2" applyFont="1" applyBorder="1" applyAlignment="1">
      <alignment horizontal="center" vertical="center" wrapText="1"/>
    </xf>
    <xf numFmtId="0" fontId="2" fillId="11" borderId="53" xfId="2" applyFont="1" applyBorder="1" applyAlignment="1">
      <alignment horizontal="center" vertical="center" wrapText="1"/>
    </xf>
    <xf numFmtId="0" fontId="2" fillId="11" borderId="54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2" fillId="8" borderId="38" xfId="0" applyFont="1" applyFill="1" applyBorder="1" applyAlignment="1">
      <alignment horizontal="center" vertical="center"/>
    </xf>
    <xf numFmtId="0" fontId="32" fillId="8" borderId="39" xfId="0" applyFont="1" applyFill="1" applyBorder="1" applyAlignment="1">
      <alignment horizontal="center" vertical="center"/>
    </xf>
  </cellXfs>
  <cellStyles count="3">
    <cellStyle name="20% - 輔色1" xfId="2" builtinId="30"/>
    <cellStyle name="一般" xfId="0" builtinId="0"/>
    <cellStyle name="百分比" xfId="1" builtinId="5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EBEB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00FF"/>
      </font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FFFF66"/>
      <color rgb="FF0000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24"/>
  <sheetViews>
    <sheetView zoomScale="70" zoomScaleNormal="70" workbookViewId="0">
      <selection activeCell="M2" sqref="M2"/>
    </sheetView>
  </sheetViews>
  <sheetFormatPr defaultColWidth="8.875" defaultRowHeight="15.75" x14ac:dyDescent="0.25"/>
  <cols>
    <col min="1" max="1" width="4.5" style="1" customWidth="1"/>
    <col min="2" max="2" width="8.75" style="1" customWidth="1"/>
    <col min="3" max="3" width="20.625" style="1" customWidth="1"/>
    <col min="4" max="4" width="7.875" style="1" customWidth="1"/>
    <col min="5" max="8" width="9.125" style="1" customWidth="1"/>
    <col min="9" max="10" width="10.375" style="1" customWidth="1"/>
    <col min="11" max="11" width="9.125" style="1" customWidth="1"/>
    <col min="12" max="12" width="10.375" style="1" customWidth="1"/>
    <col min="13" max="13" width="10.625" style="1" customWidth="1"/>
    <col min="14" max="14" width="20.875" style="1" customWidth="1"/>
    <col min="15" max="15" width="55.5" style="1" customWidth="1"/>
    <col min="16" max="16384" width="8.875" style="1"/>
  </cols>
  <sheetData>
    <row r="1" spans="1:15" s="23" customFormat="1" ht="34.9" customHeight="1" x14ac:dyDescent="0.25">
      <c r="B1" s="21">
        <v>111</v>
      </c>
      <c r="C1" s="23" t="s">
        <v>293</v>
      </c>
    </row>
    <row r="2" spans="1:15" ht="40.9" customHeight="1" x14ac:dyDescent="0.25">
      <c r="B2" s="1" t="s">
        <v>6</v>
      </c>
    </row>
    <row r="3" spans="1:15" ht="43.9" customHeight="1" x14ac:dyDescent="0.25">
      <c r="B3" s="1" t="s">
        <v>7</v>
      </c>
      <c r="F3" s="1" t="s">
        <v>3</v>
      </c>
      <c r="N3" s="1" t="s">
        <v>4</v>
      </c>
    </row>
    <row r="4" spans="1:15" s="6" customFormat="1" ht="26.45" customHeight="1" x14ac:dyDescent="0.25">
      <c r="B4" s="6" t="s">
        <v>5</v>
      </c>
    </row>
    <row r="5" spans="1:15" s="157" customFormat="1" ht="31.15" customHeight="1" x14ac:dyDescent="0.25">
      <c r="B5" s="161">
        <v>1</v>
      </c>
      <c r="C5" s="206" t="s">
        <v>58</v>
      </c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6" customFormat="1" ht="46.9" customHeight="1" x14ac:dyDescent="0.25">
      <c r="B6" s="6">
        <v>2</v>
      </c>
      <c r="C6" s="207" t="s">
        <v>291</v>
      </c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7"/>
    </row>
    <row r="7" spans="1:15" s="6" customFormat="1" ht="21.6" customHeight="1" x14ac:dyDescent="0.25">
      <c r="B7" s="6">
        <v>3</v>
      </c>
      <c r="C7" s="6" t="s">
        <v>30</v>
      </c>
    </row>
    <row r="8" spans="1:15" s="6" customFormat="1" ht="40.9" customHeight="1" x14ac:dyDescent="0.25">
      <c r="B8" s="6">
        <v>4</v>
      </c>
      <c r="C8" s="205" t="s">
        <v>35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5" s="6" customFormat="1" ht="40.9" customHeight="1" x14ac:dyDescent="0.25">
      <c r="B9" s="6">
        <v>5</v>
      </c>
      <c r="C9" s="207" t="s">
        <v>133</v>
      </c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</row>
    <row r="10" spans="1:15" s="6" customFormat="1" ht="40.9" customHeight="1" x14ac:dyDescent="0.25">
      <c r="B10" s="6">
        <v>6</v>
      </c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</row>
    <row r="11" spans="1:15" s="6" customFormat="1" ht="8.4499999999999993" customHeight="1" x14ac:dyDescent="0.25">
      <c r="C11" s="200">
        <v>109</v>
      </c>
      <c r="D11" s="200"/>
      <c r="E11" s="200"/>
      <c r="F11" s="200">
        <f>$C11+1</f>
        <v>110</v>
      </c>
      <c r="G11" s="200">
        <f>$C11+2</f>
        <v>111</v>
      </c>
      <c r="H11" s="200">
        <f>$C11</f>
        <v>109</v>
      </c>
      <c r="I11" s="200">
        <f>$C11</f>
        <v>109</v>
      </c>
      <c r="J11" s="200">
        <f t="shared" ref="J11:L11" si="0">$C11</f>
        <v>109</v>
      </c>
      <c r="K11" s="200">
        <f t="shared" si="0"/>
        <v>109</v>
      </c>
      <c r="L11" s="200">
        <f t="shared" si="0"/>
        <v>109</v>
      </c>
      <c r="M11" s="200"/>
      <c r="N11" s="200"/>
    </row>
    <row r="12" spans="1:15" s="3" customFormat="1" ht="49.9" customHeight="1" x14ac:dyDescent="0.25">
      <c r="B12" s="4" t="s">
        <v>33</v>
      </c>
      <c r="C12" s="4" t="s">
        <v>0</v>
      </c>
      <c r="D12" s="4" t="s">
        <v>34</v>
      </c>
      <c r="E12" s="4" t="s">
        <v>1</v>
      </c>
      <c r="F12" s="4" t="str">
        <f>F11&amp;"核定"</f>
        <v>110核定</v>
      </c>
      <c r="G12" s="4" t="str">
        <f>G11&amp;"核定"&amp;CHAR(10)&amp;"(增減後)"</f>
        <v>111核定
(增減後)</v>
      </c>
      <c r="H12" s="4" t="str">
        <f>H11&amp;"核定"</f>
        <v>109核定</v>
      </c>
      <c r="I12" s="202" t="str">
        <f>I11&amp;"註冊率"&amp;CHAR(10)&amp;"(不含外加)"</f>
        <v>109註冊率
(不含外加)</v>
      </c>
      <c r="J12" s="4" t="str">
        <f>J11&amp;"註冊率"&amp;CHAR(10)&amp;"(含外加)"</f>
        <v>109註冊率
(含外加)</v>
      </c>
      <c r="K12" s="4" t="str">
        <f>K11&amp;"報名數"</f>
        <v>109報名數</v>
      </c>
      <c r="L12" s="4" t="str">
        <f>L11&amp;"報考率"</f>
        <v>109報考率</v>
      </c>
      <c r="M12" s="4" t="s">
        <v>31</v>
      </c>
      <c r="N12" s="4" t="s">
        <v>21</v>
      </c>
      <c r="O12" s="4" t="s">
        <v>20</v>
      </c>
    </row>
    <row r="13" spans="1:15" s="5" customFormat="1" ht="34.9" customHeight="1" x14ac:dyDescent="0.25">
      <c r="A13" s="204" t="s">
        <v>288</v>
      </c>
      <c r="B13" s="8">
        <v>1</v>
      </c>
      <c r="C13" s="8" t="s">
        <v>8</v>
      </c>
      <c r="D13" s="8" t="s">
        <v>14</v>
      </c>
      <c r="E13" s="8">
        <v>-3</v>
      </c>
      <c r="F13" s="8">
        <v>18</v>
      </c>
      <c r="G13" s="8">
        <f>IF(F13="","",SUM(E13:F13))</f>
        <v>15</v>
      </c>
      <c r="H13" s="8">
        <v>14</v>
      </c>
      <c r="I13" s="9">
        <v>0.72299999999999998</v>
      </c>
      <c r="J13" s="9">
        <v>0.751</v>
      </c>
      <c r="K13" s="10">
        <v>12</v>
      </c>
      <c r="L13" s="9">
        <f>IF(K13="","",H13/K13)</f>
        <v>1.1666666666666667</v>
      </c>
      <c r="M13" s="8" t="s">
        <v>12</v>
      </c>
      <c r="N13" s="8" t="s">
        <v>10</v>
      </c>
      <c r="O13" s="11" t="s">
        <v>22</v>
      </c>
    </row>
    <row r="14" spans="1:15" s="5" customFormat="1" ht="38.450000000000003" customHeight="1" x14ac:dyDescent="0.25">
      <c r="A14" s="204"/>
      <c r="B14" s="8">
        <v>2</v>
      </c>
      <c r="C14" s="8" t="s">
        <v>2</v>
      </c>
      <c r="D14" s="8" t="s">
        <v>14</v>
      </c>
      <c r="E14" s="8">
        <v>3</v>
      </c>
      <c r="F14" s="8">
        <v>10</v>
      </c>
      <c r="G14" s="8">
        <f t="shared" ref="G14:G24" si="1">IF(F14="","",SUM(E14:F14))</f>
        <v>13</v>
      </c>
      <c r="H14" s="8">
        <v>10</v>
      </c>
      <c r="I14" s="9">
        <v>0.94</v>
      </c>
      <c r="J14" s="9">
        <v>0.96499999999999997</v>
      </c>
      <c r="K14" s="10">
        <v>100</v>
      </c>
      <c r="L14" s="9">
        <f t="shared" ref="L14:L24" si="2">IF(K14="","",H14/K14)</f>
        <v>0.1</v>
      </c>
      <c r="M14" s="8" t="s">
        <v>12</v>
      </c>
      <c r="N14" s="8" t="s">
        <v>11</v>
      </c>
      <c r="O14" s="11" t="s">
        <v>23</v>
      </c>
    </row>
    <row r="15" spans="1:15" s="2" customFormat="1" ht="38.450000000000003" customHeight="1" x14ac:dyDescent="0.25">
      <c r="A15" s="204"/>
      <c r="B15" s="8">
        <v>3</v>
      </c>
      <c r="C15" s="8" t="s">
        <v>32</v>
      </c>
      <c r="D15" s="8" t="s">
        <v>15</v>
      </c>
      <c r="E15" s="8">
        <v>15</v>
      </c>
      <c r="F15" s="8">
        <v>45</v>
      </c>
      <c r="G15" s="8">
        <f t="shared" si="1"/>
        <v>60</v>
      </c>
      <c r="H15" s="8">
        <v>38</v>
      </c>
      <c r="I15" s="9">
        <v>0.96499999999999997</v>
      </c>
      <c r="J15" s="9">
        <v>0.98899999999999999</v>
      </c>
      <c r="K15" s="10"/>
      <c r="L15" s="9" t="str">
        <f t="shared" si="2"/>
        <v/>
      </c>
      <c r="M15" s="8" t="s">
        <v>13</v>
      </c>
      <c r="N15" s="8" t="s">
        <v>25</v>
      </c>
      <c r="O15" s="11" t="s">
        <v>24</v>
      </c>
    </row>
    <row r="16" spans="1:15" s="2" customFormat="1" ht="38.450000000000003" customHeight="1" x14ac:dyDescent="0.25">
      <c r="A16" s="204"/>
      <c r="B16" s="8">
        <v>4</v>
      </c>
      <c r="C16" s="8" t="s">
        <v>26</v>
      </c>
      <c r="D16" s="8" t="s">
        <v>16</v>
      </c>
      <c r="E16" s="8">
        <v>-13</v>
      </c>
      <c r="F16" s="8">
        <v>60</v>
      </c>
      <c r="G16" s="8">
        <f t="shared" ref="G16:G20" si="3">IF(F16="","",SUM(E16:F16))</f>
        <v>47</v>
      </c>
      <c r="H16" s="8">
        <v>58</v>
      </c>
      <c r="I16" s="9">
        <v>0.65400000000000003</v>
      </c>
      <c r="J16" s="9">
        <v>0.70199999999999996</v>
      </c>
      <c r="K16" s="10"/>
      <c r="L16" s="9" t="str">
        <f t="shared" si="2"/>
        <v/>
      </c>
      <c r="M16" s="8" t="s">
        <v>13</v>
      </c>
      <c r="N16" s="8" t="s">
        <v>9</v>
      </c>
      <c r="O16" s="11" t="s">
        <v>27</v>
      </c>
    </row>
    <row r="17" spans="1:15" s="2" customFormat="1" ht="38.450000000000003" customHeight="1" x14ac:dyDescent="0.25">
      <c r="A17" s="204"/>
      <c r="B17" s="8">
        <v>5</v>
      </c>
      <c r="C17" s="8" t="s">
        <v>28</v>
      </c>
      <c r="D17" s="8" t="s">
        <v>17</v>
      </c>
      <c r="E17" s="8">
        <v>-2</v>
      </c>
      <c r="F17" s="8">
        <v>58</v>
      </c>
      <c r="G17" s="8">
        <f t="shared" si="3"/>
        <v>56</v>
      </c>
      <c r="H17" s="8">
        <v>58</v>
      </c>
      <c r="I17" s="9">
        <v>0.877</v>
      </c>
      <c r="J17" s="9">
        <v>0.877</v>
      </c>
      <c r="K17" s="10"/>
      <c r="L17" s="9" t="str">
        <f t="shared" si="2"/>
        <v/>
      </c>
      <c r="M17" s="8" t="s">
        <v>18</v>
      </c>
      <c r="N17" s="8" t="s">
        <v>19</v>
      </c>
      <c r="O17" s="11" t="s">
        <v>29</v>
      </c>
    </row>
    <row r="18" spans="1:15" s="3" customFormat="1" ht="26.45" customHeight="1" x14ac:dyDescent="0.25">
      <c r="B18" s="4"/>
      <c r="C18" s="4"/>
      <c r="D18" s="4"/>
      <c r="E18" s="4"/>
      <c r="F18" s="4"/>
      <c r="G18" s="12" t="str">
        <f t="shared" si="3"/>
        <v/>
      </c>
      <c r="H18" s="4"/>
      <c r="I18" s="13"/>
      <c r="J18" s="13"/>
      <c r="K18" s="14"/>
      <c r="L18" s="15" t="str">
        <f t="shared" si="2"/>
        <v/>
      </c>
      <c r="M18" s="4"/>
      <c r="N18" s="4"/>
      <c r="O18" s="4"/>
    </row>
    <row r="19" spans="1:15" s="3" customFormat="1" ht="26.45" customHeight="1" x14ac:dyDescent="0.25">
      <c r="B19" s="4"/>
      <c r="C19" s="4"/>
      <c r="D19" s="4"/>
      <c r="E19" s="4"/>
      <c r="F19" s="4"/>
      <c r="G19" s="12" t="str">
        <f t="shared" si="3"/>
        <v/>
      </c>
      <c r="H19" s="4"/>
      <c r="I19" s="13"/>
      <c r="J19" s="13"/>
      <c r="K19" s="14"/>
      <c r="L19" s="15" t="str">
        <f t="shared" si="2"/>
        <v/>
      </c>
      <c r="M19" s="4"/>
      <c r="N19" s="4"/>
      <c r="O19" s="4"/>
    </row>
    <row r="20" spans="1:15" s="3" customFormat="1" ht="26.45" customHeight="1" x14ac:dyDescent="0.25">
      <c r="B20" s="4"/>
      <c r="C20" s="4"/>
      <c r="D20" s="4"/>
      <c r="E20" s="4"/>
      <c r="F20" s="4"/>
      <c r="G20" s="12" t="str">
        <f t="shared" si="3"/>
        <v/>
      </c>
      <c r="H20" s="4"/>
      <c r="I20" s="13"/>
      <c r="J20" s="13"/>
      <c r="K20" s="14"/>
      <c r="L20" s="15" t="str">
        <f t="shared" si="2"/>
        <v/>
      </c>
      <c r="M20" s="4"/>
      <c r="N20" s="4"/>
      <c r="O20" s="4"/>
    </row>
    <row r="21" spans="1:15" s="3" customFormat="1" ht="26.45" customHeight="1" x14ac:dyDescent="0.25">
      <c r="B21" s="4"/>
      <c r="C21" s="4"/>
      <c r="D21" s="4"/>
      <c r="E21" s="4"/>
      <c r="F21" s="4"/>
      <c r="G21" s="12" t="str">
        <f t="shared" ref="G21:G22" si="4">IF(F21="","",SUM(E21:F21))</f>
        <v/>
      </c>
      <c r="H21" s="4"/>
      <c r="I21" s="13"/>
      <c r="J21" s="13"/>
      <c r="K21" s="14"/>
      <c r="L21" s="15" t="str">
        <f t="shared" ref="L21:L22" si="5">IF(K21="","",H21/K21)</f>
        <v/>
      </c>
      <c r="M21" s="4"/>
      <c r="N21" s="4"/>
      <c r="O21" s="4"/>
    </row>
    <row r="22" spans="1:15" s="3" customFormat="1" ht="26.45" customHeight="1" x14ac:dyDescent="0.25">
      <c r="B22" s="4"/>
      <c r="C22" s="4"/>
      <c r="D22" s="4"/>
      <c r="E22" s="4"/>
      <c r="F22" s="4"/>
      <c r="G22" s="12" t="str">
        <f t="shared" si="4"/>
        <v/>
      </c>
      <c r="H22" s="4"/>
      <c r="I22" s="13"/>
      <c r="J22" s="13"/>
      <c r="K22" s="14"/>
      <c r="L22" s="15" t="str">
        <f t="shared" si="5"/>
        <v/>
      </c>
      <c r="M22" s="4"/>
      <c r="N22" s="4"/>
      <c r="O22" s="4"/>
    </row>
    <row r="23" spans="1:15" s="3" customFormat="1" ht="26.45" customHeight="1" x14ac:dyDescent="0.25">
      <c r="B23" s="4"/>
      <c r="C23" s="4"/>
      <c r="D23" s="4"/>
      <c r="E23" s="4"/>
      <c r="F23" s="4"/>
      <c r="G23" s="12" t="str">
        <f t="shared" si="1"/>
        <v/>
      </c>
      <c r="H23" s="4"/>
      <c r="I23" s="13"/>
      <c r="J23" s="13"/>
      <c r="K23" s="14"/>
      <c r="L23" s="15" t="str">
        <f t="shared" si="2"/>
        <v/>
      </c>
      <c r="M23" s="4"/>
      <c r="N23" s="4"/>
      <c r="O23" s="4"/>
    </row>
    <row r="24" spans="1:15" s="3" customFormat="1" ht="26.45" customHeight="1" x14ac:dyDescent="0.25">
      <c r="B24" s="4"/>
      <c r="C24" s="4"/>
      <c r="D24" s="4"/>
      <c r="E24" s="4"/>
      <c r="F24" s="4"/>
      <c r="G24" s="12" t="str">
        <f t="shared" si="1"/>
        <v/>
      </c>
      <c r="H24" s="4"/>
      <c r="I24" s="13"/>
      <c r="J24" s="13"/>
      <c r="K24" s="14"/>
      <c r="L24" s="15" t="str">
        <f t="shared" si="2"/>
        <v/>
      </c>
      <c r="M24" s="4"/>
      <c r="N24" s="4"/>
      <c r="O24" s="4"/>
    </row>
  </sheetData>
  <mergeCells count="6">
    <mergeCell ref="A13:A17"/>
    <mergeCell ref="C8:N8"/>
    <mergeCell ref="C5:N5"/>
    <mergeCell ref="C9:N9"/>
    <mergeCell ref="C6:N6"/>
    <mergeCell ref="C10:N10"/>
  </mergeCells>
  <phoneticPr fontId="1" type="noConversion"/>
  <printOptions horizontalCentered="1"/>
  <pageMargins left="0.23622047244094491" right="0.23622047244094491" top="0.34" bottom="0.39370078740157483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S23"/>
  <sheetViews>
    <sheetView tabSelected="1" zoomScale="70" zoomScaleNormal="70" workbookViewId="0">
      <selection activeCell="F2" sqref="F2"/>
    </sheetView>
  </sheetViews>
  <sheetFormatPr defaultRowHeight="16.5" x14ac:dyDescent="0.25"/>
  <cols>
    <col min="2" max="2" width="7.25" customWidth="1"/>
    <col min="3" max="3" width="19.625" customWidth="1"/>
    <col min="4" max="7" width="8.625" customWidth="1"/>
    <col min="8" max="19" width="10.125" customWidth="1"/>
  </cols>
  <sheetData>
    <row r="1" spans="1:19" s="20" customFormat="1" ht="34.9" customHeight="1" x14ac:dyDescent="0.25">
      <c r="B1" s="174">
        <f>'增減額-全院'!B1</f>
        <v>111</v>
      </c>
      <c r="C1" s="22" t="s">
        <v>294</v>
      </c>
    </row>
    <row r="2" spans="1:19" s="1" customFormat="1" ht="40.9" customHeight="1" x14ac:dyDescent="0.25">
      <c r="B2" s="1" t="s">
        <v>6</v>
      </c>
    </row>
    <row r="3" spans="1:19" s="1" customFormat="1" ht="43.9" customHeight="1" x14ac:dyDescent="0.25">
      <c r="B3" s="1" t="s">
        <v>7</v>
      </c>
      <c r="H3" s="1" t="s">
        <v>3</v>
      </c>
      <c r="M3" s="1" t="s">
        <v>4</v>
      </c>
    </row>
    <row r="4" spans="1:19" s="6" customFormat="1" ht="26.45" customHeight="1" x14ac:dyDescent="0.25">
      <c r="B4" s="6" t="s">
        <v>5</v>
      </c>
    </row>
    <row r="5" spans="1:19" s="159" customFormat="1" ht="31.15" customHeight="1" x14ac:dyDescent="0.25">
      <c r="B5" s="161">
        <v>1</v>
      </c>
      <c r="C5" s="171" t="s">
        <v>131</v>
      </c>
      <c r="D5" s="160" t="s">
        <v>132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58"/>
      <c r="P5" s="158"/>
      <c r="Q5" s="158"/>
      <c r="R5" s="158"/>
      <c r="S5" s="158"/>
    </row>
    <row r="6" spans="1:19" s="6" customFormat="1" ht="22.15" customHeight="1" x14ac:dyDescent="0.25">
      <c r="B6" s="6">
        <v>2</v>
      </c>
      <c r="C6" s="7" t="s">
        <v>290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s="6" customFormat="1" ht="22.15" customHeight="1" x14ac:dyDescent="0.25">
      <c r="B7" s="6">
        <v>3</v>
      </c>
      <c r="C7" s="207" t="s">
        <v>39</v>
      </c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19" s="25" customFormat="1" ht="22.15" customHeight="1" x14ac:dyDescent="0.25">
      <c r="B8" s="6">
        <v>4</v>
      </c>
      <c r="C8" s="26" t="s">
        <v>42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s="25" customFormat="1" ht="22.15" customHeight="1" x14ac:dyDescent="0.25">
      <c r="B9" s="6">
        <v>5</v>
      </c>
      <c r="C9" s="198" t="s">
        <v>44</v>
      </c>
      <c r="D9" s="26" t="s">
        <v>49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s="25" customFormat="1" ht="22.15" customHeight="1" x14ac:dyDescent="0.25">
      <c r="B10" s="27"/>
      <c r="C10" s="198" t="s">
        <v>46</v>
      </c>
      <c r="D10" s="26" t="s">
        <v>50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s="25" customFormat="1" ht="22.15" customHeight="1" x14ac:dyDescent="0.25">
      <c r="B11" s="27"/>
      <c r="C11" s="198" t="s">
        <v>43</v>
      </c>
      <c r="D11" s="26" t="s">
        <v>51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s="6" customFormat="1" ht="144.6" customHeight="1" x14ac:dyDescent="0.25">
      <c r="B12" s="28"/>
      <c r="C12" s="199" t="s">
        <v>45</v>
      </c>
      <c r="D12" s="208" t="s">
        <v>53</v>
      </c>
      <c r="E12" s="208"/>
      <c r="F12" s="208"/>
      <c r="G12" s="208"/>
      <c r="H12" s="207"/>
      <c r="I12" s="207"/>
      <c r="J12" s="207"/>
      <c r="K12" s="207"/>
      <c r="L12" s="207"/>
      <c r="M12" s="207"/>
      <c r="N12" s="207"/>
      <c r="O12" s="207"/>
      <c r="P12" s="207"/>
      <c r="Q12" s="24"/>
      <c r="R12" s="24"/>
      <c r="S12" s="24"/>
    </row>
    <row r="13" spans="1:19" s="6" customFormat="1" ht="6" customHeight="1" thickBot="1" x14ac:dyDescent="0.3">
      <c r="B13" s="28"/>
      <c r="C13" s="199">
        <f>'增減額-全院'!B1</f>
        <v>111</v>
      </c>
      <c r="D13" s="201"/>
      <c r="E13" s="201"/>
      <c r="F13" s="201">
        <f>$C13+1</f>
        <v>112</v>
      </c>
      <c r="G13" s="201">
        <f>C13</f>
        <v>111</v>
      </c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</row>
    <row r="14" spans="1:19" s="3" customFormat="1" ht="51" customHeight="1" thickTop="1" x14ac:dyDescent="0.25">
      <c r="B14" s="212" t="s">
        <v>36</v>
      </c>
      <c r="C14" s="212" t="s">
        <v>0</v>
      </c>
      <c r="D14" s="212" t="s">
        <v>37</v>
      </c>
      <c r="E14" s="212" t="s">
        <v>40</v>
      </c>
      <c r="F14" s="212" t="str">
        <f>F$13&amp;"核定"</f>
        <v>112核定</v>
      </c>
      <c r="G14" s="212" t="str">
        <f>G$13&amp;"生師比"</f>
        <v>111生師比</v>
      </c>
      <c r="H14" s="209" t="s">
        <v>41</v>
      </c>
      <c r="I14" s="210"/>
      <c r="J14" s="210"/>
      <c r="K14" s="209" t="s">
        <v>48</v>
      </c>
      <c r="L14" s="210"/>
      <c r="M14" s="211"/>
      <c r="N14" s="209" t="s">
        <v>47</v>
      </c>
      <c r="O14" s="210"/>
      <c r="P14" s="211"/>
      <c r="Q14" s="209" t="s">
        <v>52</v>
      </c>
      <c r="R14" s="210"/>
      <c r="S14" s="211"/>
    </row>
    <row r="15" spans="1:19" s="3" customFormat="1" ht="20.45" customHeight="1" x14ac:dyDescent="0.25">
      <c r="B15" s="213"/>
      <c r="C15" s="213"/>
      <c r="D15" s="213"/>
      <c r="E15" s="213"/>
      <c r="F15" s="213"/>
      <c r="G15" s="213"/>
      <c r="H15" s="31">
        <f>$C$13-2</f>
        <v>109</v>
      </c>
      <c r="I15" s="4">
        <f>$C$13-1</f>
        <v>110</v>
      </c>
      <c r="J15" s="30">
        <f>$C$13</f>
        <v>111</v>
      </c>
      <c r="K15" s="31">
        <f>$C$13-2</f>
        <v>109</v>
      </c>
      <c r="L15" s="4">
        <f>$C$13-1</f>
        <v>110</v>
      </c>
      <c r="M15" s="30">
        <f>$C$13</f>
        <v>111</v>
      </c>
      <c r="N15" s="31">
        <f>$C$13-2</f>
        <v>109</v>
      </c>
      <c r="O15" s="4">
        <f>$C$13-1</f>
        <v>110</v>
      </c>
      <c r="P15" s="30">
        <f>$C$13</f>
        <v>111</v>
      </c>
      <c r="Q15" s="31">
        <f>$C$13-2</f>
        <v>109</v>
      </c>
      <c r="R15" s="4">
        <f>$C$13-1</f>
        <v>110</v>
      </c>
      <c r="S15" s="32">
        <f>$C$13</f>
        <v>111</v>
      </c>
    </row>
    <row r="16" spans="1:19" s="5" customFormat="1" ht="36" customHeight="1" x14ac:dyDescent="0.25">
      <c r="A16" s="203" t="s">
        <v>289</v>
      </c>
      <c r="B16" s="8">
        <v>1</v>
      </c>
      <c r="C16" s="8" t="s">
        <v>38</v>
      </c>
      <c r="D16" s="8" t="s">
        <v>14</v>
      </c>
      <c r="E16" s="8">
        <v>5</v>
      </c>
      <c r="F16" s="8">
        <v>25</v>
      </c>
      <c r="G16" s="29">
        <v>25.31</v>
      </c>
      <c r="H16" s="33">
        <v>0.92</v>
      </c>
      <c r="I16" s="16">
        <v>0.97</v>
      </c>
      <c r="J16" s="38">
        <v>1</v>
      </c>
      <c r="K16" s="41">
        <v>56</v>
      </c>
      <c r="L16" s="10">
        <v>80</v>
      </c>
      <c r="M16" s="42">
        <v>120</v>
      </c>
      <c r="N16" s="48">
        <v>0.26785714285714285</v>
      </c>
      <c r="O16" s="9">
        <v>0.25</v>
      </c>
      <c r="P16" s="49">
        <v>0.20833333333333334</v>
      </c>
      <c r="Q16" s="48">
        <v>0.82299999999999995</v>
      </c>
      <c r="R16" s="16">
        <v>0.88500000000000001</v>
      </c>
      <c r="S16" s="34">
        <v>0.87</v>
      </c>
    </row>
    <row r="17" spans="2:19" s="3" customFormat="1" ht="26.45" customHeight="1" x14ac:dyDescent="0.25">
      <c r="B17" s="4"/>
      <c r="C17" s="4"/>
      <c r="D17" s="4"/>
      <c r="E17" s="4"/>
      <c r="F17" s="4"/>
      <c r="G17" s="30"/>
      <c r="H17" s="35"/>
      <c r="I17" s="17"/>
      <c r="J17" s="39"/>
      <c r="K17" s="43"/>
      <c r="L17" s="18"/>
      <c r="M17" s="44"/>
      <c r="N17" s="50"/>
      <c r="O17" s="19"/>
      <c r="P17" s="44"/>
      <c r="Q17" s="50"/>
      <c r="R17" s="4"/>
      <c r="S17" s="32"/>
    </row>
    <row r="18" spans="2:19" s="3" customFormat="1" ht="26.45" customHeight="1" x14ac:dyDescent="0.25">
      <c r="B18" s="4"/>
      <c r="C18" s="4"/>
      <c r="D18" s="4"/>
      <c r="E18" s="4"/>
      <c r="F18" s="4"/>
      <c r="G18" s="30"/>
      <c r="H18" s="35"/>
      <c r="I18" s="17"/>
      <c r="J18" s="39"/>
      <c r="K18" s="43"/>
      <c r="L18" s="18"/>
      <c r="M18" s="44"/>
      <c r="N18" s="50"/>
      <c r="O18" s="19"/>
      <c r="P18" s="44"/>
      <c r="Q18" s="50"/>
      <c r="R18" s="4"/>
      <c r="S18" s="32"/>
    </row>
    <row r="19" spans="2:19" s="3" customFormat="1" ht="26.45" hidden="1" customHeight="1" x14ac:dyDescent="0.25">
      <c r="B19" s="4"/>
      <c r="C19" s="4"/>
      <c r="D19" s="4"/>
      <c r="E19" s="4"/>
      <c r="F19" s="4"/>
      <c r="G19" s="30"/>
      <c r="H19" s="35"/>
      <c r="I19" s="17"/>
      <c r="J19" s="39"/>
      <c r="K19" s="43"/>
      <c r="L19" s="18"/>
      <c r="M19" s="44"/>
      <c r="N19" s="50"/>
      <c r="O19" s="19"/>
      <c r="P19" s="44"/>
      <c r="Q19" s="50"/>
      <c r="R19" s="4"/>
      <c r="S19" s="32"/>
    </row>
    <row r="20" spans="2:19" s="3" customFormat="1" ht="26.45" customHeight="1" x14ac:dyDescent="0.25">
      <c r="B20" s="4"/>
      <c r="C20" s="4"/>
      <c r="D20" s="4"/>
      <c r="E20" s="4"/>
      <c r="F20" s="4"/>
      <c r="G20" s="30"/>
      <c r="H20" s="35"/>
      <c r="I20" s="17"/>
      <c r="J20" s="39"/>
      <c r="K20" s="43"/>
      <c r="L20" s="18"/>
      <c r="M20" s="44"/>
      <c r="N20" s="50"/>
      <c r="O20" s="19"/>
      <c r="P20" s="44"/>
      <c r="Q20" s="50"/>
      <c r="R20" s="4"/>
      <c r="S20" s="32"/>
    </row>
    <row r="21" spans="2:19" s="3" customFormat="1" ht="26.45" customHeight="1" x14ac:dyDescent="0.25">
      <c r="B21" s="4"/>
      <c r="C21" s="4"/>
      <c r="D21" s="4"/>
      <c r="E21" s="4"/>
      <c r="F21" s="4"/>
      <c r="G21" s="30"/>
      <c r="H21" s="35"/>
      <c r="I21" s="17"/>
      <c r="J21" s="39"/>
      <c r="K21" s="43"/>
      <c r="L21" s="18"/>
      <c r="M21" s="44"/>
      <c r="N21" s="50"/>
      <c r="O21" s="19"/>
      <c r="P21" s="44"/>
      <c r="Q21" s="50"/>
      <c r="R21" s="4"/>
      <c r="S21" s="32"/>
    </row>
    <row r="22" spans="2:19" s="3" customFormat="1" ht="26.45" customHeight="1" thickBot="1" x14ac:dyDescent="0.3">
      <c r="B22" s="4"/>
      <c r="C22" s="4"/>
      <c r="D22" s="4"/>
      <c r="E22" s="4"/>
      <c r="F22" s="4"/>
      <c r="G22" s="30"/>
      <c r="H22" s="36"/>
      <c r="I22" s="37"/>
      <c r="J22" s="40"/>
      <c r="K22" s="45"/>
      <c r="L22" s="46"/>
      <c r="M22" s="47"/>
      <c r="N22" s="51"/>
      <c r="O22" s="52"/>
      <c r="P22" s="47"/>
      <c r="Q22" s="51"/>
      <c r="R22" s="53"/>
      <c r="S22" s="54"/>
    </row>
    <row r="23" spans="2:19" ht="17.25" thickTop="1" x14ac:dyDescent="0.25"/>
  </sheetData>
  <mergeCells count="12">
    <mergeCell ref="B14:B15"/>
    <mergeCell ref="C14:C15"/>
    <mergeCell ref="D14:D15"/>
    <mergeCell ref="F14:F15"/>
    <mergeCell ref="K14:M14"/>
    <mergeCell ref="G14:G15"/>
    <mergeCell ref="N14:P14"/>
    <mergeCell ref="E14:E15"/>
    <mergeCell ref="D12:P12"/>
    <mergeCell ref="C7:S7"/>
    <mergeCell ref="H14:J14"/>
    <mergeCell ref="Q14:S14"/>
  </mergeCells>
  <phoneticPr fontId="1" type="noConversion"/>
  <pageMargins left="0.25" right="0.25" top="0.38" bottom="0.37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R25"/>
  <sheetViews>
    <sheetView workbookViewId="0">
      <selection activeCell="C29" sqref="C29"/>
    </sheetView>
  </sheetViews>
  <sheetFormatPr defaultRowHeight="16.5" x14ac:dyDescent="0.25"/>
  <cols>
    <col min="1" max="1" width="10.125" customWidth="1"/>
    <col min="2" max="2" width="13.375" customWidth="1"/>
    <col min="3" max="3" width="21.75" customWidth="1"/>
    <col min="4" max="8" width="11.75" customWidth="1"/>
    <col min="9" max="9" width="33.5" customWidth="1"/>
  </cols>
  <sheetData>
    <row r="1" spans="1:18" ht="61.15" customHeight="1" x14ac:dyDescent="0.25">
      <c r="A1" t="s">
        <v>59</v>
      </c>
      <c r="C1" t="s">
        <v>60</v>
      </c>
      <c r="E1" t="s">
        <v>61</v>
      </c>
      <c r="H1" t="s">
        <v>62</v>
      </c>
    </row>
    <row r="2" spans="1:18" s="55" customFormat="1" ht="29.45" customHeight="1" x14ac:dyDescent="0.25">
      <c r="A2" s="55" t="s">
        <v>63</v>
      </c>
      <c r="B2" s="162"/>
      <c r="C2" s="162"/>
      <c r="D2" s="162"/>
      <c r="E2" s="162"/>
    </row>
    <row r="3" spans="1:18" s="165" customFormat="1" ht="27.6" customHeight="1" x14ac:dyDescent="0.25">
      <c r="A3" s="163" t="s">
        <v>65</v>
      </c>
      <c r="B3" s="164"/>
      <c r="C3" s="164"/>
      <c r="D3" s="164"/>
      <c r="E3" s="164"/>
      <c r="G3" s="1"/>
      <c r="O3" s="1"/>
      <c r="Q3" s="166"/>
      <c r="R3" s="166"/>
    </row>
    <row r="4" spans="1:18" x14ac:dyDescent="0.25">
      <c r="A4" s="214" t="s">
        <v>66</v>
      </c>
      <c r="B4" s="214" t="s">
        <v>67</v>
      </c>
      <c r="C4" s="214" t="s">
        <v>68</v>
      </c>
      <c r="D4" s="214" t="s">
        <v>69</v>
      </c>
      <c r="E4" s="214"/>
      <c r="F4" s="214"/>
      <c r="G4" s="214"/>
      <c r="H4" s="215"/>
      <c r="I4" s="216" t="s">
        <v>70</v>
      </c>
    </row>
    <row r="5" spans="1:18" ht="31.9" customHeight="1" x14ac:dyDescent="0.25">
      <c r="A5" s="214"/>
      <c r="B5" s="214"/>
      <c r="C5" s="214"/>
      <c r="D5" s="167" t="s">
        <v>71</v>
      </c>
      <c r="E5" s="167" t="s">
        <v>72</v>
      </c>
      <c r="F5" s="167" t="s">
        <v>73</v>
      </c>
      <c r="G5" s="167" t="s">
        <v>74</v>
      </c>
      <c r="H5" s="168" t="s">
        <v>75</v>
      </c>
      <c r="I5" s="217"/>
    </row>
    <row r="6" spans="1:18" x14ac:dyDescent="0.25">
      <c r="A6" s="149" t="s">
        <v>77</v>
      </c>
      <c r="B6" s="149" t="s">
        <v>76</v>
      </c>
      <c r="C6" s="149" t="s">
        <v>129</v>
      </c>
      <c r="D6" s="149">
        <v>45</v>
      </c>
      <c r="E6" s="149"/>
      <c r="F6" s="149"/>
      <c r="G6" s="149"/>
      <c r="H6" s="149"/>
      <c r="I6" s="169" t="s">
        <v>130</v>
      </c>
    </row>
    <row r="7" spans="1:18" x14ac:dyDescent="0.25">
      <c r="A7" s="58" t="s">
        <v>79</v>
      </c>
      <c r="B7" s="58" t="s">
        <v>81</v>
      </c>
      <c r="C7" s="58" t="s">
        <v>82</v>
      </c>
      <c r="D7" s="58">
        <v>50</v>
      </c>
      <c r="E7" s="58"/>
      <c r="F7" s="58">
        <v>20</v>
      </c>
      <c r="G7" s="58">
        <v>15</v>
      </c>
      <c r="H7" s="58"/>
      <c r="I7" s="58" t="s">
        <v>83</v>
      </c>
    </row>
    <row r="8" spans="1:18" x14ac:dyDescent="0.25">
      <c r="A8" s="58" t="s">
        <v>84</v>
      </c>
      <c r="B8" s="58" t="s">
        <v>86</v>
      </c>
      <c r="C8" s="58" t="s">
        <v>87</v>
      </c>
      <c r="D8" s="58">
        <v>120</v>
      </c>
      <c r="E8" s="58"/>
      <c r="F8" s="58"/>
      <c r="G8" s="58"/>
      <c r="H8" s="58"/>
      <c r="I8" s="58" t="s">
        <v>88</v>
      </c>
    </row>
    <row r="9" spans="1:18" x14ac:dyDescent="0.25">
      <c r="A9" s="58" t="s">
        <v>79</v>
      </c>
      <c r="B9" s="58" t="s">
        <v>89</v>
      </c>
      <c r="C9" s="58" t="s">
        <v>78</v>
      </c>
      <c r="D9" s="58">
        <v>60</v>
      </c>
      <c r="E9" s="58"/>
      <c r="F9" s="58">
        <v>15</v>
      </c>
      <c r="G9" s="58"/>
      <c r="H9" s="58"/>
      <c r="I9" s="58" t="s">
        <v>90</v>
      </c>
    </row>
    <row r="10" spans="1:18" x14ac:dyDescent="0.25">
      <c r="A10" s="58" t="s">
        <v>91</v>
      </c>
      <c r="B10" s="58" t="s">
        <v>92</v>
      </c>
      <c r="C10" s="58" t="s">
        <v>93</v>
      </c>
      <c r="D10" s="58">
        <v>150</v>
      </c>
      <c r="E10" s="58"/>
      <c r="F10" s="58">
        <v>28</v>
      </c>
      <c r="G10" s="58">
        <v>22</v>
      </c>
      <c r="H10" s="58"/>
      <c r="I10" s="58" t="s">
        <v>94</v>
      </c>
    </row>
    <row r="11" spans="1:18" x14ac:dyDescent="0.25">
      <c r="A11" s="58" t="s">
        <v>91</v>
      </c>
      <c r="B11" s="58" t="s">
        <v>95</v>
      </c>
      <c r="C11" s="58" t="s">
        <v>78</v>
      </c>
      <c r="D11" s="58">
        <v>110</v>
      </c>
      <c r="E11" s="58"/>
      <c r="F11" s="58">
        <v>20</v>
      </c>
      <c r="G11" s="58"/>
      <c r="H11" s="58">
        <v>5</v>
      </c>
      <c r="I11" s="58" t="s">
        <v>96</v>
      </c>
    </row>
    <row r="12" spans="1:18" x14ac:dyDescent="0.25">
      <c r="A12" s="58" t="s">
        <v>97</v>
      </c>
      <c r="B12" s="58" t="s">
        <v>98</v>
      </c>
      <c r="C12" s="58" t="s">
        <v>99</v>
      </c>
      <c r="D12" s="58">
        <v>50</v>
      </c>
      <c r="E12" s="58"/>
      <c r="F12" s="58"/>
      <c r="G12" s="58"/>
      <c r="H12" s="58"/>
      <c r="I12" s="58" t="s">
        <v>100</v>
      </c>
    </row>
    <row r="14" spans="1:18" s="55" customFormat="1" ht="29.45" hidden="1" customHeight="1" x14ac:dyDescent="0.25">
      <c r="A14" s="55" t="s">
        <v>101</v>
      </c>
      <c r="B14" s="162"/>
      <c r="C14" s="162"/>
      <c r="D14" s="162"/>
      <c r="E14" s="162"/>
    </row>
    <row r="15" spans="1:18" s="165" customFormat="1" ht="27.6" hidden="1" customHeight="1" x14ac:dyDescent="0.25">
      <c r="A15" s="163" t="s">
        <v>64</v>
      </c>
      <c r="B15" s="164"/>
      <c r="C15" s="164"/>
      <c r="D15" s="164"/>
      <c r="E15" s="164"/>
      <c r="G15" s="1"/>
      <c r="O15" s="1"/>
      <c r="Q15" s="166"/>
      <c r="R15" s="166"/>
    </row>
    <row r="16" spans="1:18" hidden="1" x14ac:dyDescent="0.25">
      <c r="A16" s="167" t="s">
        <v>102</v>
      </c>
      <c r="B16" s="167" t="s">
        <v>103</v>
      </c>
      <c r="C16" s="167" t="s">
        <v>104</v>
      </c>
      <c r="D16" s="215" t="s">
        <v>105</v>
      </c>
      <c r="E16" s="218"/>
      <c r="F16" s="218"/>
      <c r="G16" s="218"/>
      <c r="H16" s="219"/>
      <c r="I16" s="170" t="s">
        <v>70</v>
      </c>
    </row>
    <row r="17" spans="1:9" hidden="1" x14ac:dyDescent="0.25">
      <c r="A17" s="149" t="s">
        <v>106</v>
      </c>
      <c r="B17" s="149" t="s">
        <v>106</v>
      </c>
      <c r="C17" s="149"/>
      <c r="D17" s="221"/>
      <c r="E17" s="221"/>
      <c r="F17" s="221"/>
      <c r="G17" s="221"/>
      <c r="H17" s="221"/>
      <c r="I17" s="149"/>
    </row>
    <row r="18" spans="1:9" ht="60.6" hidden="1" customHeight="1" x14ac:dyDescent="0.25">
      <c r="A18" s="58" t="s">
        <v>79</v>
      </c>
      <c r="B18" s="58" t="s">
        <v>80</v>
      </c>
      <c r="C18" s="58" t="s">
        <v>107</v>
      </c>
      <c r="D18" s="220" t="s">
        <v>108</v>
      </c>
      <c r="E18" s="220"/>
      <c r="F18" s="220"/>
      <c r="G18" s="220"/>
      <c r="H18" s="220"/>
      <c r="I18" s="58" t="s">
        <v>109</v>
      </c>
    </row>
    <row r="19" spans="1:9" ht="36" hidden="1" customHeight="1" x14ac:dyDescent="0.25">
      <c r="A19" s="58" t="s">
        <v>110</v>
      </c>
      <c r="B19" s="58" t="s">
        <v>85</v>
      </c>
      <c r="C19" s="58" t="s">
        <v>111</v>
      </c>
      <c r="D19" s="220" t="s">
        <v>112</v>
      </c>
      <c r="E19" s="220"/>
      <c r="F19" s="220"/>
      <c r="G19" s="220"/>
      <c r="H19" s="220"/>
      <c r="I19" s="4" t="s">
        <v>113</v>
      </c>
    </row>
    <row r="20" spans="1:9" ht="30.6" hidden="1" customHeight="1" x14ac:dyDescent="0.25">
      <c r="A20" s="58" t="s">
        <v>79</v>
      </c>
      <c r="B20" s="58" t="s">
        <v>114</v>
      </c>
      <c r="C20" s="58" t="s">
        <v>115</v>
      </c>
      <c r="D20" s="220" t="s">
        <v>116</v>
      </c>
      <c r="E20" s="220"/>
      <c r="F20" s="220"/>
      <c r="G20" s="220"/>
      <c r="H20" s="220"/>
      <c r="I20" s="58" t="s">
        <v>117</v>
      </c>
    </row>
    <row r="21" spans="1:9" ht="33.6" hidden="1" customHeight="1" x14ac:dyDescent="0.25">
      <c r="A21" s="58" t="s">
        <v>91</v>
      </c>
      <c r="B21" s="58" t="s">
        <v>92</v>
      </c>
      <c r="C21" s="58" t="s">
        <v>118</v>
      </c>
      <c r="D21" s="220" t="s">
        <v>119</v>
      </c>
      <c r="E21" s="220"/>
      <c r="F21" s="220"/>
      <c r="G21" s="220"/>
      <c r="H21" s="220"/>
      <c r="I21" s="58" t="s">
        <v>120</v>
      </c>
    </row>
    <row r="22" spans="1:9" ht="31.15" hidden="1" customHeight="1" x14ac:dyDescent="0.25">
      <c r="A22" s="58" t="s">
        <v>91</v>
      </c>
      <c r="B22" s="58" t="s">
        <v>95</v>
      </c>
      <c r="C22" s="58" t="s">
        <v>121</v>
      </c>
      <c r="D22" s="220" t="s">
        <v>122</v>
      </c>
      <c r="E22" s="220"/>
      <c r="F22" s="220"/>
      <c r="G22" s="220"/>
      <c r="H22" s="220"/>
      <c r="I22" s="58" t="s">
        <v>123</v>
      </c>
    </row>
    <row r="23" spans="1:9" ht="43.9" hidden="1" customHeight="1" x14ac:dyDescent="0.25">
      <c r="A23" s="58" t="s">
        <v>124</v>
      </c>
      <c r="B23" s="58" t="s">
        <v>125</v>
      </c>
      <c r="C23" s="58" t="s">
        <v>126</v>
      </c>
      <c r="D23" s="220" t="s">
        <v>127</v>
      </c>
      <c r="E23" s="220"/>
      <c r="F23" s="220"/>
      <c r="G23" s="220"/>
      <c r="H23" s="220"/>
      <c r="I23" s="58" t="s">
        <v>128</v>
      </c>
    </row>
    <row r="24" spans="1:9" hidden="1" x14ac:dyDescent="0.25"/>
    <row r="25" spans="1:9" hidden="1" x14ac:dyDescent="0.25"/>
  </sheetData>
  <mergeCells count="13">
    <mergeCell ref="D16:H16"/>
    <mergeCell ref="D23:H23"/>
    <mergeCell ref="D17:H17"/>
    <mergeCell ref="D18:H18"/>
    <mergeCell ref="D19:H19"/>
    <mergeCell ref="D20:H20"/>
    <mergeCell ref="D21:H21"/>
    <mergeCell ref="D22:H22"/>
    <mergeCell ref="A4:A5"/>
    <mergeCell ref="B4:B5"/>
    <mergeCell ref="C4:C5"/>
    <mergeCell ref="D4:H4"/>
    <mergeCell ref="I4:I5"/>
  </mergeCells>
  <phoneticPr fontId="1" type="noConversion"/>
  <pageMargins left="0.35433070866141736" right="0.19685039370078741" top="0.26" bottom="0.42" header="0.2" footer="0.17"/>
  <pageSetup paperSize="9" orientation="landscape" r:id="rId1"/>
  <headerFooter>
    <oddFooter>&amp;A&amp;R第 &amp;P 頁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09"/>
  <sheetViews>
    <sheetView view="pageBreakPreview" topLeftCell="A22" zoomScale="60" zoomScaleNormal="80" workbookViewId="0">
      <selection activeCell="W31" sqref="W31"/>
    </sheetView>
  </sheetViews>
  <sheetFormatPr defaultRowHeight="16.5" x14ac:dyDescent="0.25"/>
  <cols>
    <col min="1" max="1" width="31.75" customWidth="1"/>
    <col min="2" max="10" width="16.5" customWidth="1"/>
    <col min="11" max="14" width="16.5" hidden="1" customWidth="1"/>
    <col min="15" max="15" width="16.5" customWidth="1"/>
  </cols>
  <sheetData>
    <row r="1" spans="1:18" ht="37.15" hidden="1" customHeight="1" x14ac:dyDescent="0.25">
      <c r="A1" t="s">
        <v>134</v>
      </c>
      <c r="C1" t="s">
        <v>135</v>
      </c>
      <c r="E1" t="s">
        <v>136</v>
      </c>
      <c r="H1" t="s">
        <v>137</v>
      </c>
    </row>
    <row r="2" spans="1:18" s="177" customFormat="1" ht="31.15" customHeight="1" x14ac:dyDescent="0.25">
      <c r="A2" s="175" t="s">
        <v>138</v>
      </c>
      <c r="B2" s="176"/>
      <c r="C2" s="176"/>
      <c r="D2" s="176"/>
      <c r="E2" s="176"/>
      <c r="G2" s="178"/>
      <c r="O2" s="178"/>
      <c r="Q2" s="179"/>
      <c r="R2" s="179"/>
    </row>
    <row r="3" spans="1:18" s="55" customFormat="1" ht="19.5" hidden="1" x14ac:dyDescent="0.25">
      <c r="A3" s="55" t="s">
        <v>139</v>
      </c>
      <c r="B3" s="162"/>
      <c r="C3" s="162"/>
      <c r="D3" s="162"/>
      <c r="E3" s="162"/>
    </row>
    <row r="4" spans="1:18" s="1" customFormat="1" ht="15.75" hidden="1" x14ac:dyDescent="0.25"/>
    <row r="5" spans="1:18" s="180" customFormat="1" ht="31.5" hidden="1" x14ac:dyDescent="0.25">
      <c r="A5" s="172" t="s">
        <v>140</v>
      </c>
      <c r="B5" s="172" t="s">
        <v>141</v>
      </c>
      <c r="C5" s="172" t="s">
        <v>142</v>
      </c>
      <c r="D5" s="172" t="s">
        <v>143</v>
      </c>
      <c r="E5" s="172" t="s">
        <v>144</v>
      </c>
      <c r="F5" s="172" t="s">
        <v>145</v>
      </c>
      <c r="G5" s="172" t="s">
        <v>146</v>
      </c>
      <c r="H5" s="172" t="s">
        <v>147</v>
      </c>
      <c r="I5" s="172" t="s">
        <v>148</v>
      </c>
      <c r="J5" s="172" t="s">
        <v>149</v>
      </c>
      <c r="K5" s="172" t="s">
        <v>150</v>
      </c>
    </row>
    <row r="6" spans="1:18" s="1" customFormat="1" ht="174" hidden="1" customHeight="1" x14ac:dyDescent="0.25">
      <c r="A6" s="17" t="s">
        <v>151</v>
      </c>
      <c r="B6" s="17" t="s">
        <v>152</v>
      </c>
      <c r="C6" s="17" t="s">
        <v>153</v>
      </c>
      <c r="D6" s="17" t="s">
        <v>154</v>
      </c>
      <c r="E6" s="17"/>
      <c r="F6" s="181" t="s">
        <v>155</v>
      </c>
      <c r="G6" s="17"/>
      <c r="H6" s="17"/>
      <c r="I6" s="173" t="str">
        <f>IF(SUM(G6:H6)=0,"",SUM(G6:H6))</f>
        <v/>
      </c>
      <c r="J6" s="56"/>
      <c r="K6" s="56"/>
    </row>
    <row r="7" spans="1:18" s="1" customFormat="1" ht="60" hidden="1" x14ac:dyDescent="0.25">
      <c r="A7" s="182" t="s">
        <v>156</v>
      </c>
      <c r="B7" s="182" t="s">
        <v>157</v>
      </c>
      <c r="C7" s="182" t="s">
        <v>158</v>
      </c>
      <c r="D7" s="182" t="s">
        <v>159</v>
      </c>
      <c r="E7" s="182"/>
      <c r="F7" s="183" t="s">
        <v>160</v>
      </c>
      <c r="G7" s="182">
        <v>15</v>
      </c>
      <c r="H7" s="182">
        <v>0</v>
      </c>
      <c r="I7" s="184">
        <f>IF(SUM(G7:H7)=0,"",SUM(G7:H7))</f>
        <v>15</v>
      </c>
      <c r="J7" s="185">
        <v>35.72</v>
      </c>
      <c r="K7" s="185">
        <v>38.65</v>
      </c>
    </row>
    <row r="8" spans="1:18" s="1" customFormat="1" ht="15.75" hidden="1" x14ac:dyDescent="0.25">
      <c r="A8" s="17"/>
      <c r="B8" s="17"/>
      <c r="C8" s="17"/>
      <c r="D8" s="17"/>
      <c r="E8" s="17"/>
      <c r="F8" s="186"/>
      <c r="G8" s="17"/>
      <c r="H8" s="17"/>
      <c r="I8" s="173" t="str">
        <f>IF(SUM(G8:H8)=0,"",SUM(G8:H8))</f>
        <v/>
      </c>
      <c r="J8" s="56"/>
      <c r="K8" s="56"/>
    </row>
    <row r="9" spans="1:18" s="1" customFormat="1" ht="15.75" hidden="1" x14ac:dyDescent="0.25">
      <c r="A9" s="17"/>
      <c r="B9" s="17"/>
      <c r="C9" s="17"/>
      <c r="D9" s="17"/>
      <c r="E9" s="17"/>
      <c r="F9" s="186"/>
      <c r="G9" s="17"/>
      <c r="H9" s="17"/>
      <c r="I9" s="173"/>
      <c r="J9" s="56"/>
      <c r="K9" s="56"/>
    </row>
    <row r="10" spans="1:18" s="1" customFormat="1" ht="15.75" hidden="1" x14ac:dyDescent="0.25">
      <c r="A10" s="17"/>
      <c r="B10" s="17"/>
      <c r="C10" s="17"/>
      <c r="D10" s="17"/>
      <c r="E10" s="17"/>
      <c r="F10" s="186"/>
      <c r="G10" s="17"/>
      <c r="H10" s="17"/>
      <c r="I10" s="173"/>
      <c r="J10" s="56"/>
      <c r="K10" s="56"/>
    </row>
    <row r="11" spans="1:18" s="1" customFormat="1" ht="15.75" hidden="1" x14ac:dyDescent="0.25">
      <c r="A11" s="17"/>
      <c r="B11" s="17"/>
      <c r="C11" s="17"/>
      <c r="D11" s="17"/>
      <c r="E11" s="17"/>
      <c r="F11" s="186"/>
      <c r="G11" s="17"/>
      <c r="H11" s="17"/>
      <c r="I11" s="173" t="str">
        <f>IF(SUM(G11:H11)=0,"",SUM(G11:H11))</f>
        <v/>
      </c>
      <c r="J11" s="56"/>
      <c r="K11" s="56"/>
    </row>
    <row r="12" spans="1:18" hidden="1" x14ac:dyDescent="0.25"/>
    <row r="13" spans="1:18" s="55" customFormat="1" ht="19.5" x14ac:dyDescent="0.25">
      <c r="A13" s="55" t="s">
        <v>161</v>
      </c>
    </row>
    <row r="14" spans="1:18" s="1" customFormat="1" ht="19.899999999999999" customHeight="1" x14ac:dyDescent="0.25">
      <c r="A14" s="57" t="s">
        <v>162</v>
      </c>
    </row>
    <row r="15" spans="1:18" ht="47.25" x14ac:dyDescent="0.25">
      <c r="A15" s="58" t="s">
        <v>163</v>
      </c>
      <c r="B15" s="4" t="s">
        <v>164</v>
      </c>
      <c r="C15" s="58" t="s">
        <v>165</v>
      </c>
      <c r="D15" s="58" t="s">
        <v>166</v>
      </c>
      <c r="E15" s="4" t="s">
        <v>167</v>
      </c>
      <c r="F15" s="58" t="s">
        <v>168</v>
      </c>
    </row>
    <row r="16" spans="1:18" ht="48" thickBot="1" x14ac:dyDescent="0.3">
      <c r="A16" s="59" t="s">
        <v>169</v>
      </c>
      <c r="B16" s="59" t="s">
        <v>170</v>
      </c>
      <c r="C16" s="59" t="s">
        <v>170</v>
      </c>
      <c r="D16" s="59" t="s">
        <v>170</v>
      </c>
      <c r="E16" s="59" t="s">
        <v>170</v>
      </c>
      <c r="F16" s="60" t="s">
        <v>171</v>
      </c>
    </row>
    <row r="17" spans="1:18" ht="20.25" thickTop="1" thickBot="1" x14ac:dyDescent="0.3">
      <c r="A17" s="61" t="s">
        <v>172</v>
      </c>
      <c r="B17" s="62" t="s">
        <v>173</v>
      </c>
      <c r="C17" s="63" t="s">
        <v>174</v>
      </c>
      <c r="D17" s="63" t="s">
        <v>173</v>
      </c>
      <c r="E17" s="64" t="s">
        <v>175</v>
      </c>
      <c r="F17" s="65" t="str">
        <f>IF(A17="學系","A",IF(AND(A17="獨立所",C17="是"),"D",IF(AND(A17="獨立所",E17="否"),"B",IF(AND(A17="獨立所",D17="是",E17="是"),"C",IF(A17="學位學程","E")))))&amp;IF(A17="學位學程",1,IF(C17="是",3,IF(AND(C17="否",D17="否"),1,2)))&amp;IF($B$17="是",1,0)</f>
        <v>A21</v>
      </c>
    </row>
    <row r="18" spans="1:18" ht="17.25" thickTop="1" x14ac:dyDescent="0.25"/>
    <row r="19" spans="1:18" ht="18.75" x14ac:dyDescent="0.25">
      <c r="A19" s="57" t="s">
        <v>176</v>
      </c>
      <c r="Q19" s="66"/>
      <c r="R19" s="66"/>
    </row>
    <row r="20" spans="1:18" ht="18.75" x14ac:dyDescent="0.25">
      <c r="A20" s="57" t="s">
        <v>177</v>
      </c>
      <c r="B20" s="67"/>
      <c r="C20" s="67"/>
      <c r="D20" s="67"/>
      <c r="E20" s="67"/>
      <c r="G20" s="68" t="s">
        <v>178</v>
      </c>
      <c r="H20" s="69"/>
      <c r="I20" s="69"/>
      <c r="J20" s="69"/>
      <c r="O20" s="70"/>
      <c r="Q20" s="66"/>
      <c r="R20" s="66"/>
    </row>
    <row r="21" spans="1:18" x14ac:dyDescent="0.25">
      <c r="A21" s="71" t="s">
        <v>179</v>
      </c>
      <c r="B21" s="71" t="s">
        <v>180</v>
      </c>
      <c r="C21" s="72" t="s">
        <v>181</v>
      </c>
      <c r="D21" s="71" t="s">
        <v>182</v>
      </c>
      <c r="E21" s="73" t="s">
        <v>183</v>
      </c>
      <c r="G21" s="74" t="s">
        <v>184</v>
      </c>
      <c r="H21" s="74" t="s">
        <v>185</v>
      </c>
      <c r="I21" s="75" t="s">
        <v>186</v>
      </c>
      <c r="J21" s="74" t="s">
        <v>187</v>
      </c>
    </row>
    <row r="22" spans="1:18" x14ac:dyDescent="0.25">
      <c r="A22" s="56" t="s">
        <v>188</v>
      </c>
      <c r="B22" s="56">
        <v>420</v>
      </c>
      <c r="C22" s="76">
        <f>IF(OR(B22=0,B22=""),"",B22*1)</f>
        <v>420</v>
      </c>
      <c r="D22" s="56">
        <v>-20</v>
      </c>
      <c r="E22" s="76">
        <f>IF(OR(D22=0,D22=""),"",D22*1*4)</f>
        <v>-80</v>
      </c>
      <c r="G22" s="77" t="s">
        <v>189</v>
      </c>
      <c r="H22" s="77" t="s">
        <v>190</v>
      </c>
      <c r="I22" s="78" t="s">
        <v>191</v>
      </c>
      <c r="J22" s="78">
        <v>7</v>
      </c>
    </row>
    <row r="23" spans="1:18" x14ac:dyDescent="0.25">
      <c r="A23" s="79" t="s">
        <v>192</v>
      </c>
      <c r="B23" s="79">
        <v>1</v>
      </c>
      <c r="C23" s="80">
        <f>IF(OR(B23=0,B23=""),"",B23*1)</f>
        <v>1</v>
      </c>
      <c r="D23" s="81"/>
      <c r="E23" s="82" t="str">
        <f>IF(OR(D23=0,D23=""),"",D23*1*4)</f>
        <v/>
      </c>
      <c r="G23" s="77" t="s">
        <v>189</v>
      </c>
      <c r="H23" s="77" t="s">
        <v>193</v>
      </c>
      <c r="I23" s="78" t="s">
        <v>194</v>
      </c>
      <c r="J23" s="78">
        <v>9</v>
      </c>
    </row>
    <row r="24" spans="1:18" x14ac:dyDescent="0.25">
      <c r="A24" s="56" t="s">
        <v>195</v>
      </c>
      <c r="B24" s="56">
        <v>90</v>
      </c>
      <c r="C24" s="76">
        <f>IF(OR(B24=0,B24=""),"",B24*0.5)</f>
        <v>45</v>
      </c>
      <c r="D24" s="56">
        <v>5</v>
      </c>
      <c r="E24" s="76">
        <f>IF(OR(D24=0,D24=""),"",D24*0.5*4)</f>
        <v>10</v>
      </c>
      <c r="G24" s="77" t="s">
        <v>189</v>
      </c>
      <c r="H24" s="77" t="s">
        <v>196</v>
      </c>
      <c r="I24" s="78" t="s">
        <v>197</v>
      </c>
      <c r="J24" s="78">
        <v>11</v>
      </c>
    </row>
    <row r="25" spans="1:18" x14ac:dyDescent="0.25">
      <c r="A25" s="79" t="s">
        <v>198</v>
      </c>
      <c r="B25" s="79">
        <v>2</v>
      </c>
      <c r="C25" s="80">
        <f>IF(OR(B25=0,B25=""),"",B25*0.5)</f>
        <v>1</v>
      </c>
      <c r="D25" s="81"/>
      <c r="E25" s="82" t="str">
        <f>IF(OR(D25=0,D25=""),"",D25*0.5*4)</f>
        <v/>
      </c>
      <c r="G25" s="83" t="s">
        <v>199</v>
      </c>
      <c r="H25" s="77" t="s">
        <v>200</v>
      </c>
      <c r="I25" s="78" t="s">
        <v>201</v>
      </c>
      <c r="J25" s="78">
        <v>5</v>
      </c>
    </row>
    <row r="26" spans="1:18" x14ac:dyDescent="0.25">
      <c r="A26" s="56" t="s">
        <v>202</v>
      </c>
      <c r="B26" s="56">
        <v>0</v>
      </c>
      <c r="C26" s="76" t="str">
        <f>IF(OR(B26=0,B26=""),"",B26*0.5)</f>
        <v/>
      </c>
      <c r="D26" s="56">
        <v>45</v>
      </c>
      <c r="E26" s="76">
        <f>IF(OR(D26=0,D26=""),"",D26*0.5*2)</f>
        <v>45</v>
      </c>
      <c r="G26" s="83" t="s">
        <v>203</v>
      </c>
      <c r="H26" s="77" t="s">
        <v>204</v>
      </c>
      <c r="I26" s="78" t="s">
        <v>205</v>
      </c>
      <c r="J26" s="78">
        <v>7</v>
      </c>
    </row>
    <row r="27" spans="1:18" x14ac:dyDescent="0.25">
      <c r="A27" s="79" t="s">
        <v>206</v>
      </c>
      <c r="B27" s="79"/>
      <c r="C27" s="80" t="str">
        <f>IF(OR(B27=0,B27=""),"",B27*0.5)</f>
        <v/>
      </c>
      <c r="D27" s="81"/>
      <c r="E27" s="82" t="str">
        <f>IF(OR(D27=0,D27=""),"",D27*0.5*2)</f>
        <v/>
      </c>
      <c r="G27" s="83" t="s">
        <v>203</v>
      </c>
      <c r="H27" s="77" t="s">
        <v>207</v>
      </c>
      <c r="I27" s="78" t="s">
        <v>208</v>
      </c>
      <c r="J27" s="78">
        <v>7</v>
      </c>
    </row>
    <row r="28" spans="1:18" x14ac:dyDescent="0.25">
      <c r="A28" s="56" t="s">
        <v>209</v>
      </c>
      <c r="B28" s="56"/>
      <c r="C28" s="76" t="str">
        <f>IF(OR(B28=0,B28=""),"",B28*2)</f>
        <v/>
      </c>
      <c r="D28" s="56">
        <v>10</v>
      </c>
      <c r="E28" s="76">
        <f>IF(OR(D28=0,D28=""),"",D28*2*2)</f>
        <v>40</v>
      </c>
      <c r="G28" s="77" t="s">
        <v>210</v>
      </c>
      <c r="H28" s="77" t="s">
        <v>211</v>
      </c>
      <c r="I28" s="78" t="s">
        <v>212</v>
      </c>
      <c r="J28" s="78">
        <v>15</v>
      </c>
    </row>
    <row r="29" spans="1:18" x14ac:dyDescent="0.25">
      <c r="A29" s="79" t="s">
        <v>213</v>
      </c>
      <c r="B29" s="79"/>
      <c r="C29" s="80" t="str">
        <f>IF(OR(B29=0,B29=""),"",B29*1)</f>
        <v/>
      </c>
      <c r="D29" s="81"/>
      <c r="E29" s="82" t="str">
        <f>IF(OR(D29=0,D29=""),"",D29*1*2)</f>
        <v/>
      </c>
      <c r="G29" s="74" t="s">
        <v>184</v>
      </c>
      <c r="H29" s="74" t="s">
        <v>214</v>
      </c>
      <c r="I29" s="75" t="s">
        <v>215</v>
      </c>
      <c r="J29" s="74" t="s">
        <v>187</v>
      </c>
    </row>
    <row r="30" spans="1:18" x14ac:dyDescent="0.25">
      <c r="A30" s="56" t="s">
        <v>216</v>
      </c>
      <c r="B30" s="56">
        <v>35</v>
      </c>
      <c r="C30" s="76">
        <f>IF(OR(B30=0,B30=""),"",B30*1.6)</f>
        <v>56</v>
      </c>
      <c r="D30" s="56">
        <v>-3</v>
      </c>
      <c r="E30" s="76">
        <f>IF(OR(D30=0,D30=""),"",D30*1.6*2)</f>
        <v>-9.6000000000000014</v>
      </c>
      <c r="G30" s="77" t="s">
        <v>189</v>
      </c>
      <c r="H30" s="77" t="s">
        <v>217</v>
      </c>
      <c r="I30" s="78" t="s">
        <v>218</v>
      </c>
      <c r="J30" s="78">
        <v>7</v>
      </c>
    </row>
    <row r="31" spans="1:18" x14ac:dyDescent="0.25">
      <c r="A31" s="79" t="s">
        <v>219</v>
      </c>
      <c r="B31" s="79">
        <v>2</v>
      </c>
      <c r="C31" s="80">
        <f>IF(OR(B31=0,B31=""),"",B31*1)</f>
        <v>2</v>
      </c>
      <c r="D31" s="81"/>
      <c r="E31" s="82" t="str">
        <f>IF(OR(D31=0,D31=""),"",D31*1*2)</f>
        <v/>
      </c>
      <c r="G31" s="77" t="s">
        <v>189</v>
      </c>
      <c r="H31" s="77" t="s">
        <v>193</v>
      </c>
      <c r="I31" s="78" t="s">
        <v>220</v>
      </c>
      <c r="J31" s="78">
        <v>9</v>
      </c>
    </row>
    <row r="32" spans="1:18" x14ac:dyDescent="0.25">
      <c r="A32" s="56" t="s">
        <v>221</v>
      </c>
      <c r="B32" s="56">
        <v>10</v>
      </c>
      <c r="C32" s="76">
        <f>IF(OR(B32=0,B32=""),"",B32*3)</f>
        <v>30</v>
      </c>
      <c r="D32" s="56">
        <v>5</v>
      </c>
      <c r="E32" s="76">
        <f>IF(OR(D32=0,D32=""),"",D32*3*3)</f>
        <v>45</v>
      </c>
      <c r="G32" s="77" t="s">
        <v>189</v>
      </c>
      <c r="H32" s="77" t="s">
        <v>196</v>
      </c>
      <c r="I32" s="78" t="s">
        <v>222</v>
      </c>
      <c r="J32" s="78">
        <v>11</v>
      </c>
    </row>
    <row r="33" spans="1:18" ht="17.25" thickBot="1" x14ac:dyDescent="0.3">
      <c r="A33" s="79" t="s">
        <v>223</v>
      </c>
      <c r="B33" s="79">
        <v>1</v>
      </c>
      <c r="C33" s="84">
        <f>IF(OR(B33=0,B33=""),"",B33*1)</f>
        <v>1</v>
      </c>
      <c r="D33" s="81"/>
      <c r="E33" s="85" t="str">
        <f>IF(OR(D33=0,D33=""),"",D33*1*3)</f>
        <v/>
      </c>
      <c r="G33" s="83" t="s">
        <v>203</v>
      </c>
      <c r="H33" s="83" t="s">
        <v>224</v>
      </c>
      <c r="I33" s="78" t="s">
        <v>225</v>
      </c>
      <c r="J33" s="78">
        <v>5</v>
      </c>
    </row>
    <row r="34" spans="1:18" ht="20.25" thickTop="1" thickBot="1" x14ac:dyDescent="0.3">
      <c r="A34" s="86" t="s">
        <v>226</v>
      </c>
      <c r="B34" s="87">
        <f>IF(SUM(B$22:B$33)=0,"",SUM(B$22:B$33))</f>
        <v>561</v>
      </c>
      <c r="C34" s="88">
        <f>IF(SUM(C$22:C$33)=0,"",SUM(C$22:C$33))</f>
        <v>556</v>
      </c>
      <c r="D34" s="89">
        <f>IF(SUM(D$22:D$33)=0,"",SUM(D$22:D$33))</f>
        <v>42</v>
      </c>
      <c r="E34" s="88">
        <f>IF(SUM(E$22:E$33)=0,"",SUM(E$22:E$33))</f>
        <v>50.4</v>
      </c>
      <c r="G34" s="83" t="s">
        <v>203</v>
      </c>
      <c r="H34" s="83" t="s">
        <v>204</v>
      </c>
      <c r="I34" s="78" t="s">
        <v>227</v>
      </c>
      <c r="J34" s="78">
        <v>7</v>
      </c>
    </row>
    <row r="35" spans="1:18" ht="20.25" thickTop="1" thickBot="1" x14ac:dyDescent="0.3">
      <c r="A35" s="90" t="s">
        <v>228</v>
      </c>
      <c r="B35" s="91">
        <f>IF(SUM(B$28:B$33)=0,"",SUM(B$28:B$33))</f>
        <v>48</v>
      </c>
      <c r="C35" s="92"/>
      <c r="D35" s="91">
        <f>IF(SUM(D$28:D$33)=0,"",SUM(D$28:D$33))</f>
        <v>12</v>
      </c>
      <c r="E35" s="93"/>
      <c r="G35" s="83" t="s">
        <v>203</v>
      </c>
      <c r="H35" s="77" t="s">
        <v>207</v>
      </c>
      <c r="I35" s="78" t="s">
        <v>229</v>
      </c>
      <c r="J35" s="78">
        <v>7</v>
      </c>
    </row>
    <row r="36" spans="1:18" ht="17.25" thickTop="1" x14ac:dyDescent="0.25">
      <c r="G36" s="77" t="s">
        <v>210</v>
      </c>
      <c r="H36" s="77" t="s">
        <v>211</v>
      </c>
      <c r="I36" s="78" t="s">
        <v>230</v>
      </c>
      <c r="J36" s="78">
        <v>15</v>
      </c>
    </row>
    <row r="37" spans="1:18" ht="18.75" x14ac:dyDescent="0.25">
      <c r="A37" s="57" t="s">
        <v>231</v>
      </c>
      <c r="O37" s="94"/>
      <c r="P37" s="94"/>
      <c r="Q37" s="95"/>
      <c r="R37" s="95"/>
    </row>
    <row r="38" spans="1:18" ht="19.5" thickBot="1" x14ac:dyDescent="0.3">
      <c r="A38" s="57" t="s">
        <v>292</v>
      </c>
      <c r="O38" s="94"/>
      <c r="P38" s="94"/>
      <c r="Q38" s="95"/>
      <c r="R38" s="95"/>
    </row>
    <row r="39" spans="1:18" s="103" customFormat="1" thickTop="1" x14ac:dyDescent="0.25">
      <c r="A39" s="96" t="s">
        <v>179</v>
      </c>
      <c r="B39" s="97" t="s">
        <v>180</v>
      </c>
      <c r="C39" s="98" t="s">
        <v>232</v>
      </c>
      <c r="D39" s="99" t="s">
        <v>233</v>
      </c>
      <c r="E39" s="100" t="s">
        <v>234</v>
      </c>
      <c r="F39" s="100" t="s">
        <v>235</v>
      </c>
      <c r="G39" s="100" t="s">
        <v>236</v>
      </c>
      <c r="H39" s="100" t="s">
        <v>237</v>
      </c>
      <c r="I39" s="100" t="s">
        <v>238</v>
      </c>
      <c r="J39" s="100" t="s">
        <v>239</v>
      </c>
      <c r="K39" s="100" t="s">
        <v>240</v>
      </c>
      <c r="L39" s="100" t="s">
        <v>241</v>
      </c>
      <c r="M39" s="100" t="s">
        <v>242</v>
      </c>
      <c r="N39" s="100" t="s">
        <v>243</v>
      </c>
      <c r="O39" s="101" t="s">
        <v>244</v>
      </c>
      <c r="P39" s="102"/>
    </row>
    <row r="40" spans="1:18" x14ac:dyDescent="0.25">
      <c r="A40" s="56" t="s">
        <v>188</v>
      </c>
      <c r="B40" s="58">
        <v>180</v>
      </c>
      <c r="C40" s="104">
        <v>10</v>
      </c>
      <c r="D40" s="105">
        <v>100</v>
      </c>
      <c r="E40" s="106">
        <v>200</v>
      </c>
      <c r="F40" s="106">
        <v>300</v>
      </c>
      <c r="G40" s="106"/>
      <c r="H40" s="106"/>
      <c r="I40" s="106"/>
      <c r="J40" s="106"/>
      <c r="K40" s="106"/>
      <c r="L40" s="106"/>
      <c r="M40" s="107"/>
      <c r="N40" s="107"/>
      <c r="O40" s="108"/>
      <c r="P40" s="95"/>
    </row>
    <row r="41" spans="1:18" x14ac:dyDescent="0.25">
      <c r="A41" s="79" t="s">
        <v>192</v>
      </c>
      <c r="B41" s="79">
        <v>2</v>
      </c>
      <c r="C41" s="109"/>
      <c r="D41" s="110">
        <v>1</v>
      </c>
      <c r="E41" s="111">
        <v>2</v>
      </c>
      <c r="F41" s="111">
        <v>3</v>
      </c>
      <c r="G41" s="111"/>
      <c r="H41" s="111"/>
      <c r="I41" s="111"/>
      <c r="J41" s="111"/>
      <c r="K41" s="111"/>
      <c r="L41" s="111"/>
      <c r="M41" s="112"/>
      <c r="N41" s="112"/>
      <c r="O41" s="113"/>
      <c r="P41" s="95"/>
    </row>
    <row r="42" spans="1:18" x14ac:dyDescent="0.25">
      <c r="A42" s="56" t="s">
        <v>195</v>
      </c>
      <c r="B42" s="58">
        <v>90</v>
      </c>
      <c r="C42" s="104">
        <v>-5</v>
      </c>
      <c r="D42" s="105"/>
      <c r="E42" s="106"/>
      <c r="F42" s="106"/>
      <c r="G42" s="106"/>
      <c r="H42" s="106"/>
      <c r="I42" s="106"/>
      <c r="J42" s="106"/>
      <c r="K42" s="106"/>
      <c r="L42" s="106"/>
      <c r="M42" s="107"/>
      <c r="N42" s="107"/>
      <c r="O42" s="108"/>
      <c r="P42" s="95"/>
    </row>
    <row r="43" spans="1:18" x14ac:dyDescent="0.25">
      <c r="A43" s="79" t="s">
        <v>198</v>
      </c>
      <c r="B43" s="79"/>
      <c r="C43" s="109"/>
      <c r="D43" s="110"/>
      <c r="E43" s="111"/>
      <c r="F43" s="111"/>
      <c r="G43" s="111"/>
      <c r="H43" s="111"/>
      <c r="I43" s="111"/>
      <c r="J43" s="111"/>
      <c r="K43" s="111"/>
      <c r="L43" s="111"/>
      <c r="M43" s="112"/>
      <c r="N43" s="112"/>
      <c r="O43" s="113"/>
      <c r="P43" s="95"/>
    </row>
    <row r="44" spans="1:18" x14ac:dyDescent="0.25">
      <c r="A44" s="56" t="s">
        <v>202</v>
      </c>
      <c r="B44" s="58"/>
      <c r="C44" s="104"/>
      <c r="D44" s="105"/>
      <c r="E44" s="106"/>
      <c r="F44" s="106"/>
      <c r="G44" s="106">
        <v>160</v>
      </c>
      <c r="H44" s="106"/>
      <c r="I44" s="106"/>
      <c r="J44" s="106"/>
      <c r="K44" s="106"/>
      <c r="L44" s="106"/>
      <c r="M44" s="107"/>
      <c r="N44" s="107"/>
      <c r="O44" s="108"/>
      <c r="P44" s="95"/>
    </row>
    <row r="45" spans="1:18" x14ac:dyDescent="0.25">
      <c r="A45" s="79" t="s">
        <v>206</v>
      </c>
      <c r="B45" s="79"/>
      <c r="C45" s="109"/>
      <c r="D45" s="110"/>
      <c r="E45" s="111"/>
      <c r="F45" s="111"/>
      <c r="G45" s="111">
        <v>1</v>
      </c>
      <c r="H45" s="111"/>
      <c r="I45" s="111"/>
      <c r="J45" s="111"/>
      <c r="K45" s="111"/>
      <c r="L45" s="111"/>
      <c r="M45" s="112"/>
      <c r="N45" s="112"/>
      <c r="O45" s="113"/>
      <c r="P45" s="95"/>
    </row>
    <row r="46" spans="1:18" x14ac:dyDescent="0.25">
      <c r="A46" s="56" t="s">
        <v>209</v>
      </c>
      <c r="B46" s="58"/>
      <c r="C46" s="104"/>
      <c r="D46" s="105">
        <v>50</v>
      </c>
      <c r="E46" s="106">
        <v>15</v>
      </c>
      <c r="F46" s="106"/>
      <c r="G46" s="106"/>
      <c r="H46" s="106"/>
      <c r="I46" s="106"/>
      <c r="J46" s="106"/>
      <c r="K46" s="106"/>
      <c r="L46" s="106"/>
      <c r="M46" s="107"/>
      <c r="N46" s="107"/>
      <c r="O46" s="108"/>
      <c r="P46" s="95"/>
    </row>
    <row r="47" spans="1:18" x14ac:dyDescent="0.25">
      <c r="A47" s="79" t="s">
        <v>213</v>
      </c>
      <c r="B47" s="79"/>
      <c r="C47" s="109"/>
      <c r="D47" s="110"/>
      <c r="E47" s="111"/>
      <c r="F47" s="111"/>
      <c r="G47" s="111"/>
      <c r="H47" s="111"/>
      <c r="I47" s="111"/>
      <c r="J47" s="111"/>
      <c r="K47" s="111"/>
      <c r="L47" s="111"/>
      <c r="M47" s="112"/>
      <c r="N47" s="112"/>
      <c r="O47" s="113"/>
      <c r="P47" s="95"/>
    </row>
    <row r="48" spans="1:18" x14ac:dyDescent="0.25">
      <c r="A48" s="56" t="s">
        <v>216</v>
      </c>
      <c r="B48" s="58"/>
      <c r="C48" s="104"/>
      <c r="D48" s="105"/>
      <c r="E48" s="106"/>
      <c r="F48" s="106">
        <v>40</v>
      </c>
      <c r="G48" s="106"/>
      <c r="H48" s="106"/>
      <c r="I48" s="106"/>
      <c r="J48" s="106"/>
      <c r="K48" s="106"/>
      <c r="L48" s="106"/>
      <c r="M48" s="107"/>
      <c r="N48" s="107"/>
      <c r="O48" s="108"/>
      <c r="P48" s="95"/>
    </row>
    <row r="49" spans="1:18" x14ac:dyDescent="0.25">
      <c r="A49" s="79" t="s">
        <v>219</v>
      </c>
      <c r="B49" s="79"/>
      <c r="C49" s="109"/>
      <c r="D49" s="110"/>
      <c r="E49" s="111"/>
      <c r="F49" s="111">
        <v>1</v>
      </c>
      <c r="G49" s="111"/>
      <c r="H49" s="111"/>
      <c r="I49" s="111"/>
      <c r="J49" s="111"/>
      <c r="K49" s="111"/>
      <c r="L49" s="111"/>
      <c r="M49" s="112"/>
      <c r="N49" s="112"/>
      <c r="O49" s="113"/>
      <c r="P49" s="95"/>
    </row>
    <row r="50" spans="1:18" x14ac:dyDescent="0.25">
      <c r="A50" s="56" t="s">
        <v>221</v>
      </c>
      <c r="B50" s="58"/>
      <c r="C50" s="104"/>
      <c r="D50" s="105"/>
      <c r="E50" s="106"/>
      <c r="F50" s="106">
        <v>8</v>
      </c>
      <c r="G50" s="106"/>
      <c r="H50" s="106"/>
      <c r="I50" s="106"/>
      <c r="J50" s="106"/>
      <c r="K50" s="106"/>
      <c r="L50" s="106"/>
      <c r="M50" s="107"/>
      <c r="N50" s="107"/>
      <c r="O50" s="108"/>
      <c r="P50" s="95"/>
    </row>
    <row r="51" spans="1:18" ht="17.25" thickBot="1" x14ac:dyDescent="0.3">
      <c r="A51" s="79" t="s">
        <v>245</v>
      </c>
      <c r="B51" s="79"/>
      <c r="C51" s="109"/>
      <c r="D51" s="110"/>
      <c r="E51" s="111"/>
      <c r="F51" s="111">
        <v>2</v>
      </c>
      <c r="G51" s="111"/>
      <c r="H51" s="111"/>
      <c r="I51" s="111"/>
      <c r="J51" s="111"/>
      <c r="K51" s="111"/>
      <c r="L51" s="111"/>
      <c r="M51" s="112"/>
      <c r="N51" s="112"/>
      <c r="O51" s="113"/>
      <c r="P51" s="95"/>
    </row>
    <row r="52" spans="1:18" ht="20.25" thickTop="1" thickBot="1" x14ac:dyDescent="0.3">
      <c r="A52" s="90" t="s">
        <v>246</v>
      </c>
      <c r="B52" s="88">
        <f>SUM(B40:B51)</f>
        <v>272</v>
      </c>
      <c r="C52" s="88">
        <f>SUM(C40:C43)*4+SUM(C44:C49)*2+SUM(C50:C51)*3</f>
        <v>20</v>
      </c>
      <c r="D52" s="114">
        <f>IF(SUM(D40:D51)=0,"",SUM(D40:D51))</f>
        <v>151</v>
      </c>
      <c r="E52" s="115">
        <f t="shared" ref="E52:O52" si="0">IF(SUM(E40:E51)=0,"",SUM(E40:E51))</f>
        <v>217</v>
      </c>
      <c r="F52" s="115">
        <f t="shared" si="0"/>
        <v>354</v>
      </c>
      <c r="G52" s="115">
        <f t="shared" si="0"/>
        <v>161</v>
      </c>
      <c r="H52" s="115" t="str">
        <f t="shared" si="0"/>
        <v/>
      </c>
      <c r="I52" s="115" t="str">
        <f t="shared" si="0"/>
        <v/>
      </c>
      <c r="J52" s="115" t="str">
        <f t="shared" si="0"/>
        <v/>
      </c>
      <c r="K52" s="115" t="str">
        <f t="shared" si="0"/>
        <v/>
      </c>
      <c r="L52" s="115" t="str">
        <f t="shared" si="0"/>
        <v/>
      </c>
      <c r="M52" s="116" t="str">
        <f t="shared" si="0"/>
        <v/>
      </c>
      <c r="N52" s="116" t="str">
        <f t="shared" si="0"/>
        <v/>
      </c>
      <c r="O52" s="117" t="str">
        <f t="shared" si="0"/>
        <v/>
      </c>
      <c r="P52" s="95"/>
    </row>
    <row r="53" spans="1:18" ht="17.25" thickTop="1" x14ac:dyDescent="0.25">
      <c r="O53" s="94"/>
      <c r="P53" s="94"/>
      <c r="Q53" s="95"/>
      <c r="R53" s="95"/>
    </row>
    <row r="54" spans="1:18" hidden="1" x14ac:dyDescent="0.25">
      <c r="O54" s="94"/>
      <c r="P54" s="94"/>
      <c r="Q54" s="95"/>
      <c r="R54" s="95"/>
    </row>
    <row r="55" spans="1:18" ht="18.75" x14ac:dyDescent="0.25">
      <c r="A55" s="57" t="s">
        <v>247</v>
      </c>
    </row>
    <row r="56" spans="1:18" ht="18.75" x14ac:dyDescent="0.25">
      <c r="A56" s="57" t="s">
        <v>248</v>
      </c>
    </row>
    <row r="57" spans="1:18" ht="17.25" thickBot="1" x14ac:dyDescent="0.3">
      <c r="A57" s="118" t="s">
        <v>249</v>
      </c>
      <c r="B57" s="119" t="s">
        <v>250</v>
      </c>
      <c r="C57" s="119" t="s">
        <v>251</v>
      </c>
      <c r="D57" s="119" t="s">
        <v>54</v>
      </c>
      <c r="E57" s="119" t="s">
        <v>252</v>
      </c>
      <c r="F57" s="119" t="s">
        <v>253</v>
      </c>
      <c r="G57" s="187" t="s">
        <v>55</v>
      </c>
      <c r="H57" s="121"/>
    </row>
    <row r="58" spans="1:18" ht="17.25" thickTop="1" x14ac:dyDescent="0.25">
      <c r="A58" s="122" t="s">
        <v>254</v>
      </c>
      <c r="B58" s="123">
        <v>1</v>
      </c>
      <c r="C58" s="123">
        <v>5</v>
      </c>
      <c r="D58" s="123">
        <v>2</v>
      </c>
      <c r="E58" s="123">
        <v>3</v>
      </c>
      <c r="F58" s="124">
        <f>SUM(B58:E58)</f>
        <v>11</v>
      </c>
      <c r="G58" s="222">
        <f>IF(AND($B$17="是",F59/4&gt;F58/2),F58+F58/2,IF(AND($B$17="否",F59/4&gt;F58/3),F58+F58/3,F58+F59/4))</f>
        <v>14.25</v>
      </c>
    </row>
    <row r="59" spans="1:18" ht="17.25" thickBot="1" x14ac:dyDescent="0.3">
      <c r="A59" s="125" t="s">
        <v>255</v>
      </c>
      <c r="B59" s="58">
        <v>5</v>
      </c>
      <c r="C59" s="58">
        <v>3</v>
      </c>
      <c r="D59" s="58">
        <v>0</v>
      </c>
      <c r="E59" s="58">
        <v>5</v>
      </c>
      <c r="F59" s="126">
        <f>SUM(B59:E59)</f>
        <v>13</v>
      </c>
      <c r="G59" s="223"/>
    </row>
    <row r="60" spans="1:18" ht="17.25" thickTop="1" x14ac:dyDescent="0.25">
      <c r="A60" s="125" t="s">
        <v>256</v>
      </c>
      <c r="B60" s="58">
        <v>-1</v>
      </c>
      <c r="C60" s="58"/>
      <c r="D60" s="58"/>
      <c r="E60" s="58">
        <v>3</v>
      </c>
      <c r="F60" s="126">
        <f>SUM(B60:E60)</f>
        <v>2</v>
      </c>
      <c r="G60" s="222">
        <f>IF(AND($B$17="是",SUM(F61,F59)/4&gt;SUM(F60,F58)/2),SUM(F60,F58)+SUM(F60,F58)/2,IF(AND($B$17="否",SUM(F61,F59)/4&gt;SUM(F60,F58)/3),SUM(F60,F58)+SUM(F60,F58)/3,SUM(F60,F58)+SUM(F61,F59/4)))</f>
        <v>18.25</v>
      </c>
    </row>
    <row r="61" spans="1:18" ht="17.25" thickBot="1" x14ac:dyDescent="0.3">
      <c r="A61" s="127" t="s">
        <v>257</v>
      </c>
      <c r="B61" s="128"/>
      <c r="C61" s="128">
        <v>-3</v>
      </c>
      <c r="D61" s="128"/>
      <c r="E61" s="128">
        <v>5</v>
      </c>
      <c r="F61" s="129">
        <f>SUM(B61:E61)</f>
        <v>2</v>
      </c>
      <c r="G61" s="223"/>
    </row>
    <row r="62" spans="1:18" s="132" customFormat="1" ht="17.25" thickTop="1" x14ac:dyDescent="0.25">
      <c r="A62" s="130"/>
      <c r="B62" s="130"/>
      <c r="C62" s="130"/>
      <c r="D62" s="130"/>
      <c r="E62" s="130"/>
      <c r="F62" s="130"/>
      <c r="G62" s="131"/>
    </row>
    <row r="63" spans="1:18" ht="18.75" x14ac:dyDescent="0.25">
      <c r="A63" s="57" t="s">
        <v>258</v>
      </c>
    </row>
    <row r="64" spans="1:18" ht="18.75" x14ac:dyDescent="0.25">
      <c r="A64" s="57" t="s">
        <v>259</v>
      </c>
    </row>
    <row r="65" spans="1:12" s="132" customFormat="1" ht="17.25" thickBot="1" x14ac:dyDescent="0.3">
      <c r="A65" s="133" t="s">
        <v>211</v>
      </c>
      <c r="B65" s="134" t="s">
        <v>250</v>
      </c>
      <c r="C65" s="134" t="s">
        <v>251</v>
      </c>
      <c r="D65" s="134" t="s">
        <v>260</v>
      </c>
      <c r="E65" s="134" t="s">
        <v>252</v>
      </c>
      <c r="F65" s="134" t="s">
        <v>261</v>
      </c>
      <c r="G65"/>
      <c r="H65"/>
      <c r="I65"/>
      <c r="J65"/>
      <c r="K65"/>
      <c r="L65"/>
    </row>
    <row r="66" spans="1:12" ht="17.25" thickTop="1" x14ac:dyDescent="0.25">
      <c r="A66" s="135" t="s">
        <v>262</v>
      </c>
      <c r="B66" s="123">
        <f>IF(SUM(B68:B80)=0,"",SUM(B68:B80))</f>
        <v>5</v>
      </c>
      <c r="C66" s="123">
        <f>IF(SUM(C68:C80)=0,"",SUM(C68:C80))</f>
        <v>2</v>
      </c>
      <c r="D66" s="123">
        <f>IF(SUM(D68:D80)=0,"",SUM(D68:D80))</f>
        <v>5</v>
      </c>
      <c r="E66" s="123">
        <f>IF(SUM(E68:E80)=0,"",SUM(E68:E80))</f>
        <v>2</v>
      </c>
      <c r="F66" s="124">
        <f>SUM(B66:E66)</f>
        <v>14</v>
      </c>
    </row>
    <row r="67" spans="1:12" ht="17.25" thickBot="1" x14ac:dyDescent="0.3">
      <c r="A67" s="137" t="s">
        <v>263</v>
      </c>
      <c r="B67" s="128"/>
      <c r="C67" s="128">
        <v>-3</v>
      </c>
      <c r="D67" s="128"/>
      <c r="E67" s="128">
        <v>5</v>
      </c>
      <c r="F67" s="129">
        <f>SUM(B67:E67)</f>
        <v>2</v>
      </c>
    </row>
    <row r="68" spans="1:12" ht="17.25" thickTop="1" x14ac:dyDescent="0.25">
      <c r="A68" s="188" t="s">
        <v>264</v>
      </c>
      <c r="B68" s="139">
        <v>1</v>
      </c>
      <c r="C68" s="139"/>
      <c r="D68" s="139"/>
      <c r="E68" s="139"/>
      <c r="F68" s="140">
        <f t="shared" ref="F68:F80" si="1">SUM(B68:E68)</f>
        <v>1</v>
      </c>
    </row>
    <row r="69" spans="1:12" x14ac:dyDescent="0.25">
      <c r="A69" s="189" t="s">
        <v>56</v>
      </c>
      <c r="B69" s="139">
        <v>1</v>
      </c>
      <c r="C69" s="139"/>
      <c r="D69" s="139"/>
      <c r="E69" s="139"/>
      <c r="F69" s="140">
        <f t="shared" si="1"/>
        <v>1</v>
      </c>
    </row>
    <row r="70" spans="1:12" x14ac:dyDescent="0.25">
      <c r="A70" s="190" t="s">
        <v>234</v>
      </c>
      <c r="B70" s="142"/>
      <c r="C70" s="142">
        <v>1</v>
      </c>
      <c r="D70" s="142"/>
      <c r="E70" s="142"/>
      <c r="F70" s="143">
        <f t="shared" si="1"/>
        <v>1</v>
      </c>
    </row>
    <row r="71" spans="1:12" x14ac:dyDescent="0.25">
      <c r="A71" s="190" t="s">
        <v>235</v>
      </c>
      <c r="B71" s="142"/>
      <c r="C71" s="142"/>
      <c r="D71" s="142">
        <v>1</v>
      </c>
      <c r="E71" s="142"/>
      <c r="F71" s="143">
        <f t="shared" si="1"/>
        <v>1</v>
      </c>
    </row>
    <row r="72" spans="1:12" x14ac:dyDescent="0.25">
      <c r="A72" s="190" t="s">
        <v>236</v>
      </c>
      <c r="B72" s="142">
        <v>1</v>
      </c>
      <c r="C72" s="142"/>
      <c r="D72" s="142"/>
      <c r="E72" s="142">
        <v>1</v>
      </c>
      <c r="F72" s="143">
        <f t="shared" si="1"/>
        <v>2</v>
      </c>
    </row>
    <row r="73" spans="1:12" x14ac:dyDescent="0.25">
      <c r="A73" s="190" t="s">
        <v>237</v>
      </c>
      <c r="B73" s="142"/>
      <c r="C73" s="142"/>
      <c r="D73" s="142">
        <v>1</v>
      </c>
      <c r="E73" s="142"/>
      <c r="F73" s="143">
        <f t="shared" si="1"/>
        <v>1</v>
      </c>
    </row>
    <row r="74" spans="1:12" x14ac:dyDescent="0.25">
      <c r="A74" s="190" t="s">
        <v>265</v>
      </c>
      <c r="B74" s="142"/>
      <c r="C74" s="142"/>
      <c r="D74" s="142">
        <v>1</v>
      </c>
      <c r="E74" s="142"/>
      <c r="F74" s="143">
        <f t="shared" si="1"/>
        <v>1</v>
      </c>
    </row>
    <row r="75" spans="1:12" x14ac:dyDescent="0.25">
      <c r="A75" s="190" t="s">
        <v>239</v>
      </c>
      <c r="B75" s="142">
        <v>1</v>
      </c>
      <c r="C75" s="142"/>
      <c r="D75" s="142"/>
      <c r="E75" s="142"/>
      <c r="F75" s="143">
        <f t="shared" si="1"/>
        <v>1</v>
      </c>
    </row>
    <row r="76" spans="1:12" x14ac:dyDescent="0.25">
      <c r="A76" s="190" t="s">
        <v>240</v>
      </c>
      <c r="B76" s="142"/>
      <c r="C76" s="142">
        <v>1</v>
      </c>
      <c r="D76" s="142"/>
      <c r="E76" s="142"/>
      <c r="F76" s="143">
        <f t="shared" si="1"/>
        <v>1</v>
      </c>
    </row>
    <row r="77" spans="1:12" x14ac:dyDescent="0.25">
      <c r="A77" s="191" t="s">
        <v>241</v>
      </c>
      <c r="B77" s="144"/>
      <c r="C77" s="144"/>
      <c r="D77" s="144">
        <v>1</v>
      </c>
      <c r="E77" s="144"/>
      <c r="F77" s="145">
        <f t="shared" si="1"/>
        <v>1</v>
      </c>
    </row>
    <row r="78" spans="1:12" x14ac:dyDescent="0.25">
      <c r="A78" s="191" t="s">
        <v>242</v>
      </c>
      <c r="B78" s="144"/>
      <c r="C78" s="144"/>
      <c r="D78" s="144"/>
      <c r="E78" s="144">
        <v>1</v>
      </c>
      <c r="F78" s="145">
        <f t="shared" si="1"/>
        <v>1</v>
      </c>
    </row>
    <row r="79" spans="1:12" x14ac:dyDescent="0.25">
      <c r="A79" s="191" t="s">
        <v>243</v>
      </c>
      <c r="B79" s="144"/>
      <c r="C79" s="144"/>
      <c r="D79" s="144">
        <v>1</v>
      </c>
      <c r="E79" s="144"/>
      <c r="F79" s="145">
        <f t="shared" si="1"/>
        <v>1</v>
      </c>
    </row>
    <row r="80" spans="1:12" x14ac:dyDescent="0.25">
      <c r="A80" s="190" t="s">
        <v>244</v>
      </c>
      <c r="B80" s="142">
        <v>1</v>
      </c>
      <c r="C80" s="142"/>
      <c r="D80" s="142"/>
      <c r="E80" s="142"/>
      <c r="F80" s="143">
        <f t="shared" si="1"/>
        <v>1</v>
      </c>
    </row>
    <row r="82" spans="1:12" ht="18.75" x14ac:dyDescent="0.25">
      <c r="A82" s="57" t="s">
        <v>266</v>
      </c>
    </row>
    <row r="83" spans="1:12" ht="18.75" x14ac:dyDescent="0.25">
      <c r="A83" s="57" t="s">
        <v>267</v>
      </c>
    </row>
    <row r="84" spans="1:12" s="132" customFormat="1" ht="17.25" thickBot="1" x14ac:dyDescent="0.3">
      <c r="A84" s="192" t="s">
        <v>211</v>
      </c>
      <c r="B84" s="193" t="s">
        <v>250</v>
      </c>
      <c r="C84" s="193" t="s">
        <v>268</v>
      </c>
      <c r="D84" s="193" t="s">
        <v>260</v>
      </c>
      <c r="E84" s="193" t="s">
        <v>252</v>
      </c>
      <c r="F84" s="193" t="s">
        <v>253</v>
      </c>
      <c r="G84" s="120" t="s">
        <v>269</v>
      </c>
      <c r="H84"/>
      <c r="I84"/>
      <c r="J84"/>
      <c r="K84"/>
      <c r="L84"/>
    </row>
    <row r="85" spans="1:12" ht="18" thickTop="1" thickBot="1" x14ac:dyDescent="0.3">
      <c r="A85" s="135" t="s">
        <v>262</v>
      </c>
      <c r="B85" s="123">
        <f>IF(SUM(B87:B99)=0,"",SUM(B87:B99))</f>
        <v>49</v>
      </c>
      <c r="C85" s="123">
        <f>IF(SUM(C87:C99)=0,"",SUM(C87:C99))</f>
        <v>29</v>
      </c>
      <c r="D85" s="123">
        <f>IF(SUM(D87:D99)=0,"",SUM(D87:D99))</f>
        <v>30</v>
      </c>
      <c r="E85" s="123">
        <f>IF(SUM(E87:E99)=0,"",SUM(E87:E99))</f>
        <v>8</v>
      </c>
      <c r="F85" s="124">
        <f>SUM(B85:E85)</f>
        <v>116</v>
      </c>
      <c r="G85" s="136"/>
    </row>
    <row r="86" spans="1:12" ht="18" thickTop="1" thickBot="1" x14ac:dyDescent="0.3">
      <c r="A86" s="137" t="s">
        <v>270</v>
      </c>
      <c r="B86" s="128"/>
      <c r="C86" s="128">
        <v>-3</v>
      </c>
      <c r="D86" s="128"/>
      <c r="E86" s="128">
        <v>2</v>
      </c>
      <c r="F86" s="129">
        <f>SUM(B86:E86)</f>
        <v>-1</v>
      </c>
      <c r="G86" s="138"/>
    </row>
    <row r="87" spans="1:12" ht="18" thickTop="1" thickBot="1" x14ac:dyDescent="0.3">
      <c r="A87" s="194" t="s">
        <v>271</v>
      </c>
      <c r="B87" s="139"/>
      <c r="C87" s="139"/>
      <c r="D87" s="139"/>
      <c r="E87" s="139"/>
      <c r="F87" s="140">
        <f t="shared" ref="F87:F99" si="2">SUM(B87:E87)</f>
        <v>0</v>
      </c>
      <c r="G87" s="136"/>
    </row>
    <row r="88" spans="1:12" ht="18" thickTop="1" thickBot="1" x14ac:dyDescent="0.3">
      <c r="A88" s="195" t="s">
        <v>56</v>
      </c>
      <c r="B88" s="139">
        <v>5</v>
      </c>
      <c r="C88" s="139">
        <v>3</v>
      </c>
      <c r="D88" s="139">
        <v>2</v>
      </c>
      <c r="E88" s="139"/>
      <c r="F88" s="140">
        <f t="shared" si="2"/>
        <v>10</v>
      </c>
      <c r="G88" s="141">
        <v>28.5</v>
      </c>
    </row>
    <row r="89" spans="1:12" ht="18" thickTop="1" thickBot="1" x14ac:dyDescent="0.3">
      <c r="A89" s="196" t="s">
        <v>272</v>
      </c>
      <c r="B89" s="142">
        <v>1</v>
      </c>
      <c r="C89" s="142">
        <v>1</v>
      </c>
      <c r="D89" s="142">
        <v>7</v>
      </c>
      <c r="E89" s="142">
        <v>1</v>
      </c>
      <c r="F89" s="143">
        <f t="shared" si="2"/>
        <v>10</v>
      </c>
      <c r="G89" s="141" t="s">
        <v>57</v>
      </c>
    </row>
    <row r="90" spans="1:12" ht="18" thickTop="1" thickBot="1" x14ac:dyDescent="0.3">
      <c r="A90" s="196" t="s">
        <v>235</v>
      </c>
      <c r="B90" s="142">
        <v>13</v>
      </c>
      <c r="C90" s="142"/>
      <c r="D90" s="142"/>
      <c r="E90" s="142"/>
      <c r="F90" s="143">
        <f t="shared" si="2"/>
        <v>13</v>
      </c>
      <c r="G90" s="141" t="s">
        <v>57</v>
      </c>
    </row>
    <row r="91" spans="1:12" ht="18" thickTop="1" thickBot="1" x14ac:dyDescent="0.3">
      <c r="A91" s="196" t="s">
        <v>236</v>
      </c>
      <c r="B91" s="142">
        <v>7</v>
      </c>
      <c r="C91" s="142">
        <v>6</v>
      </c>
      <c r="D91" s="142">
        <v>1</v>
      </c>
      <c r="E91" s="142">
        <v>1</v>
      </c>
      <c r="F91" s="143">
        <f t="shared" si="2"/>
        <v>15</v>
      </c>
      <c r="G91" s="141" t="s">
        <v>57</v>
      </c>
    </row>
    <row r="92" spans="1:12" ht="18" thickTop="1" thickBot="1" x14ac:dyDescent="0.3">
      <c r="A92" s="196" t="s">
        <v>237</v>
      </c>
      <c r="B92" s="142"/>
      <c r="C92" s="142">
        <v>5</v>
      </c>
      <c r="D92" s="142">
        <v>2</v>
      </c>
      <c r="E92" s="142"/>
      <c r="F92" s="143">
        <f t="shared" si="2"/>
        <v>7</v>
      </c>
      <c r="G92" s="141" t="s">
        <v>57</v>
      </c>
    </row>
    <row r="93" spans="1:12" ht="18" thickTop="1" thickBot="1" x14ac:dyDescent="0.3">
      <c r="A93" s="196" t="s">
        <v>238</v>
      </c>
      <c r="B93" s="142">
        <v>3</v>
      </c>
      <c r="C93" s="142">
        <v>3</v>
      </c>
      <c r="D93" s="142">
        <v>1</v>
      </c>
      <c r="E93" s="142"/>
      <c r="F93" s="143">
        <f t="shared" si="2"/>
        <v>7</v>
      </c>
      <c r="G93" s="141" t="s">
        <v>57</v>
      </c>
    </row>
    <row r="94" spans="1:12" ht="18" thickTop="1" thickBot="1" x14ac:dyDescent="0.3">
      <c r="A94" s="196" t="s">
        <v>239</v>
      </c>
      <c r="B94" s="142">
        <v>8</v>
      </c>
      <c r="C94" s="142">
        <v>2</v>
      </c>
      <c r="D94" s="142">
        <v>4</v>
      </c>
      <c r="E94" s="142">
        <v>1</v>
      </c>
      <c r="F94" s="143">
        <f t="shared" si="2"/>
        <v>15</v>
      </c>
      <c r="G94" s="141" t="s">
        <v>57</v>
      </c>
    </row>
    <row r="95" spans="1:12" ht="18" thickTop="1" thickBot="1" x14ac:dyDescent="0.3">
      <c r="A95" s="196" t="s">
        <v>240</v>
      </c>
      <c r="B95" s="142">
        <v>11</v>
      </c>
      <c r="C95" s="142"/>
      <c r="D95" s="142"/>
      <c r="E95" s="142"/>
      <c r="F95" s="143">
        <f t="shared" si="2"/>
        <v>11</v>
      </c>
      <c r="G95" s="141" t="s">
        <v>57</v>
      </c>
    </row>
    <row r="96" spans="1:12" ht="18" thickTop="1" thickBot="1" x14ac:dyDescent="0.3">
      <c r="A96" s="197" t="s">
        <v>241</v>
      </c>
      <c r="B96" s="144"/>
      <c r="C96" s="144">
        <v>5</v>
      </c>
      <c r="D96" s="144">
        <v>5</v>
      </c>
      <c r="E96" s="144">
        <v>2</v>
      </c>
      <c r="F96" s="145">
        <f t="shared" si="2"/>
        <v>12</v>
      </c>
      <c r="G96" s="141" t="s">
        <v>57</v>
      </c>
    </row>
    <row r="97" spans="1:7" ht="18" thickTop="1" thickBot="1" x14ac:dyDescent="0.3">
      <c r="A97" s="197" t="s">
        <v>242</v>
      </c>
      <c r="B97" s="144"/>
      <c r="C97" s="144">
        <v>3</v>
      </c>
      <c r="D97" s="144">
        <v>3</v>
      </c>
      <c r="E97" s="144">
        <v>3</v>
      </c>
      <c r="F97" s="145">
        <f t="shared" si="2"/>
        <v>9</v>
      </c>
      <c r="G97" s="141" t="s">
        <v>57</v>
      </c>
    </row>
    <row r="98" spans="1:7" ht="18" thickTop="1" thickBot="1" x14ac:dyDescent="0.3">
      <c r="A98" s="197" t="s">
        <v>243</v>
      </c>
      <c r="B98" s="144"/>
      <c r="C98" s="144">
        <v>1</v>
      </c>
      <c r="D98" s="144">
        <v>2</v>
      </c>
      <c r="E98" s="144"/>
      <c r="F98" s="145">
        <f t="shared" si="2"/>
        <v>3</v>
      </c>
      <c r="G98" s="141" t="s">
        <v>57</v>
      </c>
    </row>
    <row r="99" spans="1:7" ht="18" thickTop="1" thickBot="1" x14ac:dyDescent="0.3">
      <c r="A99" s="196" t="s">
        <v>273</v>
      </c>
      <c r="B99" s="142">
        <v>1</v>
      </c>
      <c r="C99" s="142"/>
      <c r="D99" s="142">
        <v>3</v>
      </c>
      <c r="E99" s="142"/>
      <c r="F99" s="143">
        <f t="shared" si="2"/>
        <v>4</v>
      </c>
      <c r="G99" s="141" t="s">
        <v>57</v>
      </c>
    </row>
    <row r="100" spans="1:7" ht="19.5" thickTop="1" x14ac:dyDescent="0.25">
      <c r="A100" s="57" t="s">
        <v>274</v>
      </c>
    </row>
    <row r="101" spans="1:7" ht="18.75" x14ac:dyDescent="0.25">
      <c r="A101" s="57" t="s">
        <v>275</v>
      </c>
    </row>
    <row r="102" spans="1:7" x14ac:dyDescent="0.25">
      <c r="A102" s="146" t="s">
        <v>276</v>
      </c>
      <c r="B102" s="71" t="s">
        <v>277</v>
      </c>
      <c r="C102" s="71" t="s">
        <v>278</v>
      </c>
      <c r="D102" s="71" t="s">
        <v>279</v>
      </c>
      <c r="E102" s="71" t="s">
        <v>280</v>
      </c>
      <c r="F102" s="71" t="s">
        <v>281</v>
      </c>
    </row>
    <row r="103" spans="1:7" x14ac:dyDescent="0.25">
      <c r="A103" s="71" t="s">
        <v>282</v>
      </c>
      <c r="B103" s="147">
        <f>IF($A$17="學位學程","",IF(C34/G58=0,"",C34/G58))</f>
        <v>39.017543859649123</v>
      </c>
      <c r="C103" s="147">
        <f>IF($A$17="學位學程","",IF(B35/SUM(B58:D58)=0,"",B35/SUM(B58:D58)))</f>
        <v>6</v>
      </c>
      <c r="D103" s="148">
        <f>IF($A$17="學位學程","",IF(E58/F58=0,"",E58/F58))</f>
        <v>0.27272727272727271</v>
      </c>
      <c r="E103" s="149">
        <f>IF($A$17="學位學程","",F58-VLOOKUP($F$17,$I$22:$J$36,2,FALSE))</f>
        <v>2</v>
      </c>
      <c r="F103" s="150"/>
    </row>
    <row r="104" spans="1:7" x14ac:dyDescent="0.25">
      <c r="A104" s="71" t="s">
        <v>283</v>
      </c>
      <c r="B104" s="147">
        <f>IF($A$17="學位學程","",IF(SUM(C34,E34)/G60=0,"",SUM(C34,E34)/G60))</f>
        <v>33.227397260273975</v>
      </c>
      <c r="C104" s="147">
        <f>IF($A$17="學位學程","",IF(SUM(B35,D35)/SUM(B58:D58,B60:D60)=0,"",SUM(B35,D35)/SUM(B58:D58,B60:D60)))</f>
        <v>8.5714285714285712</v>
      </c>
      <c r="D104" s="148">
        <f>IF($A$17="學位學程","",IF(SUM(E58,E60)/SUM(F58,F60)=0,"",SUM(E58,E60)/SUM(F58,F60)))</f>
        <v>0.46153846153846156</v>
      </c>
      <c r="E104" s="149">
        <f>IF($A$17="學位學程","",SUM(F58,F60)-VLOOKUP($F$17,$I$22:$J$36,2,FALSE))</f>
        <v>4</v>
      </c>
      <c r="F104" s="150"/>
    </row>
    <row r="105" spans="1:7" x14ac:dyDescent="0.25">
      <c r="A105" s="151" t="s">
        <v>284</v>
      </c>
      <c r="B105" s="58" t="str">
        <f>IF(B103="","",IF(B103&gt;39.5,"不合格",IF(B103&gt;38,"待改善","")))</f>
        <v>待改善</v>
      </c>
      <c r="C105" s="58" t="str">
        <f>IF(C103="","",IF(C103&gt;20,"不合格",IF(C103&gt;19,"待改善","")))</f>
        <v/>
      </c>
      <c r="D105" s="58" t="str">
        <f>IF(D103="","",IF(D103&gt;0.3,"不合格",IF(D103&gt;0.285,"待改善","")))</f>
        <v/>
      </c>
      <c r="E105" s="58" t="str">
        <f>IF(E103&lt;0,"不合格","")</f>
        <v/>
      </c>
      <c r="F105" s="152"/>
    </row>
    <row r="106" spans="1:7" x14ac:dyDescent="0.25">
      <c r="A106" s="153" t="s">
        <v>211</v>
      </c>
      <c r="B106" s="154" t="s">
        <v>285</v>
      </c>
      <c r="C106" s="154" t="s">
        <v>278</v>
      </c>
      <c r="D106" s="154" t="s">
        <v>279</v>
      </c>
      <c r="E106" s="154" t="s">
        <v>187</v>
      </c>
      <c r="F106" s="154" t="s">
        <v>281</v>
      </c>
    </row>
    <row r="107" spans="1:7" x14ac:dyDescent="0.25">
      <c r="A107" s="154" t="s">
        <v>286</v>
      </c>
      <c r="B107" s="147" t="str">
        <f>IF($A$17="學位學程",IF(SUM(B52,D52:O52)/F85=0,"",SUM(B52,D52:O52)/F85),"")</f>
        <v/>
      </c>
      <c r="C107" s="155"/>
      <c r="D107" s="148" t="str">
        <f>IF($A$17="學位學程",IF(E66/F66=0,"",E66/F66),"")</f>
        <v/>
      </c>
      <c r="E107" s="155"/>
      <c r="F107" s="149" t="str">
        <f>IF($A$17="學位學程",F66-VLOOKUP($F$17,$I$22:$J$36,2,FALSE),"")</f>
        <v/>
      </c>
    </row>
    <row r="108" spans="1:7" x14ac:dyDescent="0.25">
      <c r="A108" s="154" t="s">
        <v>287</v>
      </c>
      <c r="B108" s="147" t="str">
        <f>IF($A$17="學位學程",IF(SUM(B52:C52,D52:O52)/SUM(F85:F86)=0,"",SUM(B52:C52,D52:O52)/SUM(F85:F86)),"")</f>
        <v/>
      </c>
      <c r="C108" s="155"/>
      <c r="D108" s="148" t="str">
        <f>IF($A$17="學位學程",IF(SUM(E66:E67)/SUM(F66:F67)=0,"",SUM(E66:E67)/SUM(F66:F67)),"")</f>
        <v/>
      </c>
      <c r="E108" s="155"/>
      <c r="F108" s="149" t="str">
        <f>IF($A$17="學位學程",SUM(F66:F67)-VLOOKUP($F$17,$I$22:$J$36,2,FALSE),"")</f>
        <v/>
      </c>
    </row>
    <row r="109" spans="1:7" x14ac:dyDescent="0.25">
      <c r="A109" s="151" t="s">
        <v>284</v>
      </c>
      <c r="B109" s="58" t="str">
        <f>IF(B107="","",IF(B107&gt;39.5,"不合格",IF(B107&gt;38,"待改善","")))</f>
        <v/>
      </c>
      <c r="C109" s="156"/>
      <c r="D109" s="58" t="str">
        <f>IF(D107="","",IF(D107&gt;0.3,"不合格",IF(D107&gt;0.285,"待改善","")))</f>
        <v/>
      </c>
      <c r="E109" s="156"/>
      <c r="F109" s="58" t="str">
        <f>IF(F107&lt;0,"不合格","")</f>
        <v/>
      </c>
    </row>
  </sheetData>
  <mergeCells count="2">
    <mergeCell ref="G58:G59"/>
    <mergeCell ref="G60:G61"/>
  </mergeCells>
  <phoneticPr fontId="1" type="noConversion"/>
  <conditionalFormatting sqref="B58:F62">
    <cfRule type="containsText" dxfId="6" priority="7" operator="containsText" text="待改善">
      <formula>NOT(ISERROR(SEARCH("待改善",B58)))</formula>
    </cfRule>
  </conditionalFormatting>
  <conditionalFormatting sqref="D22:D33">
    <cfRule type="cellIs" dxfId="5" priority="6" operator="lessThan">
      <formula>0</formula>
    </cfRule>
  </conditionalFormatting>
  <conditionalFormatting sqref="B66:F67">
    <cfRule type="cellIs" dxfId="4" priority="5" operator="lessThan">
      <formula>0</formula>
    </cfRule>
  </conditionalFormatting>
  <conditionalFormatting sqref="B68:F80">
    <cfRule type="cellIs" dxfId="3" priority="4" operator="lessThan">
      <formula>0</formula>
    </cfRule>
  </conditionalFormatting>
  <conditionalFormatting sqref="E103:E104 F107:F108">
    <cfRule type="cellIs" dxfId="2" priority="3" operator="lessThan">
      <formula>0</formula>
    </cfRule>
  </conditionalFormatting>
  <conditionalFormatting sqref="B85:F86">
    <cfRule type="cellIs" dxfId="1" priority="2" operator="lessThan">
      <formula>0</formula>
    </cfRule>
  </conditionalFormatting>
  <conditionalFormatting sqref="B87:F99">
    <cfRule type="cellIs" dxfId="0" priority="1" operator="lessThan">
      <formula>0</formula>
    </cfRule>
  </conditionalFormatting>
  <pageMargins left="0.23622047244094491" right="0.23622047244094491" top="0.26" bottom="0.35" header="0.2" footer="0.15748031496062992"/>
  <pageSetup paperSize="9" scale="72" fitToHeight="0" orientation="landscape" r:id="rId1"/>
  <headerFooter>
    <oddFooter>&amp;A&amp;R第 &amp;P 頁</oddFooter>
  </headerFooter>
  <rowBreaks count="2" manualBreakCount="2">
    <brk id="52" max="14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增減額-全院</vt:lpstr>
      <vt:lpstr>增額單位說明表</vt:lpstr>
      <vt:lpstr>5-競爭校系-1系1表</vt:lpstr>
      <vt:lpstr>生師比概算-參考</vt:lpstr>
      <vt:lpstr>'增減額-全院'!Print_Titles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rdo</dc:creator>
  <cp:lastModifiedBy>啟良 蕭</cp:lastModifiedBy>
  <cp:lastPrinted>2014-08-05T08:12:22Z</cp:lastPrinted>
  <dcterms:created xsi:type="dcterms:W3CDTF">2013-08-01T07:48:00Z</dcterms:created>
  <dcterms:modified xsi:type="dcterms:W3CDTF">2022-08-04T04:47:09Z</dcterms:modified>
</cp:coreProperties>
</file>